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3675" windowHeight="6915" activeTab="3"/>
  </bookViews>
  <sheets>
    <sheet name="ISCO Cell Qt'ys" sheetId="1" r:id="rId1"/>
    <sheet name="Mix Design" sheetId="2" r:id="rId2"/>
    <sheet name="Yd3" sheetId="3" r:id="rId3"/>
    <sheet name="ISS Cell Qty's" sheetId="4" r:id="rId4"/>
  </sheets>
  <definedNames>
    <definedName name="_xlnm.Print_Area" localSheetId="0">'ISCO Cell Qt''ys'!$A$1:$N$41</definedName>
    <definedName name="_xlnm.Print_Area" localSheetId="3">'ISS Cell Qty''s'!$A$1:$N$27</definedName>
  </definedNames>
  <calcPr calcId="124519"/>
</workbook>
</file>

<file path=xl/calcChain.xml><?xml version="1.0" encoding="utf-8"?>
<calcChain xmlns="http://schemas.openxmlformats.org/spreadsheetml/2006/main">
  <c r="G47" i="3"/>
  <c r="F47"/>
  <c r="S47"/>
  <c r="R47"/>
  <c r="J21" i="1"/>
  <c r="J23"/>
  <c r="J25"/>
  <c r="J16"/>
  <c r="J17"/>
  <c r="K19"/>
  <c r="K21"/>
  <c r="I26"/>
  <c r="J26"/>
  <c r="H27"/>
  <c r="I27"/>
  <c r="J27"/>
  <c r="L27"/>
  <c r="J29"/>
  <c r="G2" i="3"/>
  <c r="F2"/>
  <c r="F7"/>
  <c r="F12"/>
  <c r="F17"/>
  <c r="E27"/>
  <c r="E22"/>
  <c r="E17"/>
  <c r="E12"/>
  <c r="D2"/>
  <c r="E2"/>
  <c r="H2"/>
  <c r="I2"/>
  <c r="J2"/>
  <c r="K2"/>
  <c r="L2"/>
  <c r="M2"/>
  <c r="N2"/>
  <c r="D7"/>
  <c r="E7"/>
  <c r="G7"/>
  <c r="H7"/>
  <c r="I7"/>
  <c r="J7"/>
  <c r="K7"/>
  <c r="L7"/>
  <c r="M7"/>
  <c r="N7"/>
  <c r="D12"/>
  <c r="G12"/>
  <c r="H12"/>
  <c r="H13" i="1" s="1"/>
  <c r="I12" i="3"/>
  <c r="I11" i="1" s="1"/>
  <c r="J12" i="3"/>
  <c r="J11" i="1" s="1"/>
  <c r="K12" i="3"/>
  <c r="K12" i="1" s="1"/>
  <c r="L12" i="3"/>
  <c r="M12"/>
  <c r="N12"/>
  <c r="D17"/>
  <c r="G17"/>
  <c r="H17"/>
  <c r="H16" i="1" s="1"/>
  <c r="I17" i="3"/>
  <c r="I17" i="1" s="1"/>
  <c r="J17" i="3"/>
  <c r="J14" i="1" s="1"/>
  <c r="K17" i="3"/>
  <c r="K15" i="1" s="1"/>
  <c r="L17" i="3"/>
  <c r="L15" i="1" s="1"/>
  <c r="M17" i="3"/>
  <c r="N17"/>
  <c r="D22"/>
  <c r="F22"/>
  <c r="G22"/>
  <c r="H22"/>
  <c r="H18" i="1" s="1"/>
  <c r="I22" i="3"/>
  <c r="I19" i="1" s="1"/>
  <c r="J22" i="3"/>
  <c r="J19" i="1" s="1"/>
  <c r="K22" i="3"/>
  <c r="K18" i="1" s="1"/>
  <c r="L22" i="3"/>
  <c r="L18" i="1" s="1"/>
  <c r="M22" i="3"/>
  <c r="N22"/>
  <c r="D27"/>
  <c r="F27"/>
  <c r="G27"/>
  <c r="H27"/>
  <c r="H23" i="1" s="1"/>
  <c r="I27" i="3"/>
  <c r="I23" i="1" s="1"/>
  <c r="J27" i="3"/>
  <c r="J22" i="1" s="1"/>
  <c r="K27" i="3"/>
  <c r="K23" i="1" s="1"/>
  <c r="L27" i="3"/>
  <c r="L22" i="1" s="1"/>
  <c r="M27" i="3"/>
  <c r="N27"/>
  <c r="D32"/>
  <c r="E32"/>
  <c r="F32"/>
  <c r="G32"/>
  <c r="H32"/>
  <c r="H26" i="1" s="1"/>
  <c r="I32" i="3"/>
  <c r="I29" i="1" s="1"/>
  <c r="J32" i="3"/>
  <c r="J28" i="1" s="1"/>
  <c r="K32" i="3"/>
  <c r="K27" i="1" s="1"/>
  <c r="L32" i="3"/>
  <c r="L26" i="1" s="1"/>
  <c r="M32" i="3"/>
  <c r="N32"/>
  <c r="D37"/>
  <c r="E37"/>
  <c r="F37"/>
  <c r="G37"/>
  <c r="H37"/>
  <c r="I37"/>
  <c r="J37"/>
  <c r="K37"/>
  <c r="L37"/>
  <c r="M37"/>
  <c r="N37"/>
  <c r="D42"/>
  <c r="E42"/>
  <c r="F42"/>
  <c r="G42"/>
  <c r="H42"/>
  <c r="I42"/>
  <c r="J42"/>
  <c r="K42"/>
  <c r="L42"/>
  <c r="M42"/>
  <c r="N42"/>
  <c r="D47"/>
  <c r="E47"/>
  <c r="H47"/>
  <c r="I47"/>
  <c r="J47"/>
  <c r="K47"/>
  <c r="L47"/>
  <c r="M47"/>
  <c r="N47"/>
  <c r="C47"/>
  <c r="C42"/>
  <c r="C37"/>
  <c r="C32"/>
  <c r="C27"/>
  <c r="C22"/>
  <c r="C17"/>
  <c r="C12"/>
  <c r="H15" i="1" l="1"/>
  <c r="L16"/>
  <c r="I16"/>
  <c r="I15"/>
  <c r="K28"/>
  <c r="K29"/>
  <c r="L28"/>
  <c r="H28"/>
  <c r="L29"/>
  <c r="H29"/>
  <c r="I28"/>
  <c r="K26"/>
  <c r="L25"/>
  <c r="L23"/>
  <c r="H22"/>
  <c r="K24"/>
  <c r="K22"/>
  <c r="H25"/>
  <c r="I24"/>
  <c r="I22"/>
  <c r="L24"/>
  <c r="H24"/>
  <c r="J24"/>
  <c r="K25"/>
  <c r="I25"/>
  <c r="H21"/>
  <c r="I20"/>
  <c r="I18"/>
  <c r="L21"/>
  <c r="L19"/>
  <c r="H20"/>
  <c r="J20"/>
  <c r="J18"/>
  <c r="K20"/>
  <c r="H19"/>
  <c r="I21"/>
  <c r="L20"/>
  <c r="K14"/>
  <c r="L17"/>
  <c r="L14"/>
  <c r="H17"/>
  <c r="K16"/>
  <c r="J15"/>
  <c r="I14"/>
  <c r="H14"/>
  <c r="K17"/>
  <c r="H11"/>
  <c r="I12"/>
  <c r="J12"/>
  <c r="J13"/>
  <c r="J10"/>
  <c r="I13"/>
  <c r="K11"/>
  <c r="H10"/>
  <c r="K10"/>
  <c r="H12"/>
  <c r="K13"/>
  <c r="I10"/>
  <c r="I13" i="2"/>
  <c r="F21"/>
  <c r="F6"/>
  <c r="P4" s="1"/>
  <c r="B14"/>
  <c r="F20" i="4"/>
  <c r="G20"/>
  <c r="H20"/>
  <c r="I20"/>
  <c r="J20"/>
  <c r="K20"/>
  <c r="L20"/>
  <c r="M20"/>
  <c r="N20"/>
  <c r="H10"/>
  <c r="I10"/>
  <c r="J10"/>
  <c r="M10"/>
  <c r="N10"/>
  <c r="H12"/>
  <c r="I12"/>
  <c r="J12"/>
  <c r="L12"/>
  <c r="M12"/>
  <c r="N12"/>
  <c r="K10" l="1"/>
  <c r="L10"/>
  <c r="K12"/>
  <c r="W2" i="3"/>
  <c r="X2"/>
  <c r="Y2"/>
  <c r="Z2"/>
  <c r="AA2"/>
  <c r="W7"/>
  <c r="X7"/>
  <c r="Y7"/>
  <c r="Z7"/>
  <c r="AA7"/>
  <c r="W12"/>
  <c r="X12"/>
  <c r="Y12"/>
  <c r="Z12"/>
  <c r="AA12"/>
  <c r="W17"/>
  <c r="X17"/>
  <c r="Y17"/>
  <c r="Z17"/>
  <c r="AA17"/>
  <c r="W22"/>
  <c r="X22"/>
  <c r="Y22"/>
  <c r="Z22"/>
  <c r="AA22"/>
  <c r="W27"/>
  <c r="X27"/>
  <c r="Y27"/>
  <c r="Z27"/>
  <c r="AA27"/>
  <c r="W32"/>
  <c r="X32"/>
  <c r="Y32"/>
  <c r="Z32"/>
  <c r="AA32"/>
  <c r="W37"/>
  <c r="X37"/>
  <c r="Y37"/>
  <c r="Z37"/>
  <c r="AA37"/>
  <c r="W42"/>
  <c r="X42"/>
  <c r="Y42"/>
  <c r="Z42"/>
  <c r="AA42"/>
  <c r="W47"/>
  <c r="X47"/>
  <c r="Y47"/>
  <c r="Z47"/>
  <c r="AA47"/>
  <c r="J2" i="4"/>
  <c r="K2"/>
  <c r="L2"/>
  <c r="M2"/>
  <c r="N2"/>
  <c r="J4"/>
  <c r="K4"/>
  <c r="L4"/>
  <c r="M4"/>
  <c r="N4"/>
  <c r="J6"/>
  <c r="K6"/>
  <c r="L6"/>
  <c r="M6"/>
  <c r="N6"/>
  <c r="M8"/>
  <c r="N8"/>
  <c r="L14"/>
  <c r="M14"/>
  <c r="N14"/>
  <c r="J16"/>
  <c r="K16"/>
  <c r="L16"/>
  <c r="M16"/>
  <c r="N16"/>
  <c r="J18"/>
  <c r="K18"/>
  <c r="L18"/>
  <c r="M18"/>
  <c r="N18"/>
  <c r="D18"/>
  <c r="E18"/>
  <c r="F18"/>
  <c r="G18"/>
  <c r="H18"/>
  <c r="I18"/>
  <c r="D20"/>
  <c r="E20"/>
  <c r="D16"/>
  <c r="E16"/>
  <c r="F16"/>
  <c r="G16"/>
  <c r="H16"/>
  <c r="I16"/>
  <c r="D2"/>
  <c r="E2"/>
  <c r="F2"/>
  <c r="G2"/>
  <c r="H2"/>
  <c r="I2"/>
  <c r="D4"/>
  <c r="E4"/>
  <c r="F4"/>
  <c r="G4"/>
  <c r="H4"/>
  <c r="I4"/>
  <c r="D6"/>
  <c r="E6"/>
  <c r="F6"/>
  <c r="G6"/>
  <c r="H6"/>
  <c r="I6"/>
  <c r="D8"/>
  <c r="E8"/>
  <c r="F8"/>
  <c r="G8"/>
  <c r="H8"/>
  <c r="D10"/>
  <c r="E10"/>
  <c r="F10"/>
  <c r="G10"/>
  <c r="D12"/>
  <c r="E12"/>
  <c r="F12"/>
  <c r="G12"/>
  <c r="D14"/>
  <c r="E14"/>
  <c r="F14"/>
  <c r="G14"/>
  <c r="H14"/>
  <c r="C2" i="3"/>
  <c r="C7"/>
  <c r="O27" l="1"/>
  <c r="O47"/>
  <c r="O42"/>
  <c r="O37"/>
  <c r="C16" i="4"/>
  <c r="J14"/>
  <c r="K14"/>
  <c r="I14"/>
  <c r="C14"/>
  <c r="O32" i="3"/>
  <c r="O22"/>
  <c r="K8" i="4"/>
  <c r="I8"/>
  <c r="L8"/>
  <c r="J8"/>
  <c r="O17" i="3"/>
  <c r="O7"/>
  <c r="O12"/>
  <c r="O2"/>
  <c r="X1"/>
  <c r="Y1"/>
  <c r="Z1"/>
  <c r="AA1"/>
  <c r="W1"/>
  <c r="I19" i="2" l="1"/>
  <c r="I4"/>
  <c r="Q2" i="3" l="1"/>
  <c r="R2"/>
  <c r="S2"/>
  <c r="T2"/>
  <c r="U2"/>
  <c r="V2"/>
  <c r="Q7"/>
  <c r="R7"/>
  <c r="S7"/>
  <c r="T7"/>
  <c r="U7"/>
  <c r="V7"/>
  <c r="Q12"/>
  <c r="R12"/>
  <c r="S12"/>
  <c r="T12"/>
  <c r="U12"/>
  <c r="V12"/>
  <c r="Q17"/>
  <c r="R17"/>
  <c r="S17"/>
  <c r="T17"/>
  <c r="U17"/>
  <c r="V17"/>
  <c r="Q22"/>
  <c r="R22"/>
  <c r="S22"/>
  <c r="T22"/>
  <c r="U22"/>
  <c r="V22"/>
  <c r="Q27"/>
  <c r="R27"/>
  <c r="S27"/>
  <c r="T27"/>
  <c r="U27"/>
  <c r="V27"/>
  <c r="Q32"/>
  <c r="R32"/>
  <c r="S32"/>
  <c r="T32"/>
  <c r="U32"/>
  <c r="V32"/>
  <c r="Q37"/>
  <c r="R37"/>
  <c r="S37"/>
  <c r="T37"/>
  <c r="U37"/>
  <c r="V37"/>
  <c r="Q42"/>
  <c r="R42"/>
  <c r="S42"/>
  <c r="T42"/>
  <c r="U42"/>
  <c r="V42"/>
  <c r="Q47"/>
  <c r="T47"/>
  <c r="U47"/>
  <c r="V47"/>
  <c r="P47"/>
  <c r="P42"/>
  <c r="P37"/>
  <c r="P32"/>
  <c r="P27"/>
  <c r="P22"/>
  <c r="P17"/>
  <c r="P12"/>
  <c r="P7"/>
  <c r="P2"/>
  <c r="AB47" l="1"/>
  <c r="AB37"/>
  <c r="AB32"/>
  <c r="AB27"/>
  <c r="AB2"/>
  <c r="AB12"/>
  <c r="AB42"/>
  <c r="AB22"/>
  <c r="AB17"/>
  <c r="AB7"/>
  <c r="P1"/>
  <c r="U1"/>
  <c r="S1"/>
  <c r="V1"/>
  <c r="T1"/>
  <c r="R1"/>
  <c r="Q1"/>
  <c r="M16" i="2"/>
  <c r="I28"/>
  <c r="B22"/>
  <c r="F20"/>
  <c r="B20"/>
  <c r="B21" s="1"/>
  <c r="AB1" i="3" l="1"/>
  <c r="M17" i="2"/>
  <c r="O18"/>
  <c r="F25"/>
  <c r="M2"/>
  <c r="M1"/>
  <c r="O3" s="1"/>
  <c r="B7"/>
  <c r="F5"/>
  <c r="F10" s="1"/>
  <c r="B5"/>
  <c r="B6" s="1"/>
  <c r="C20" i="4" l="1"/>
  <c r="C4"/>
  <c r="C12"/>
  <c r="C10"/>
  <c r="C8"/>
  <c r="C6"/>
  <c r="M3" i="2"/>
  <c r="O2"/>
  <c r="C18" i="4"/>
  <c r="C2"/>
  <c r="M18" i="2"/>
  <c r="O17"/>
  <c r="P17" s="1"/>
  <c r="C17" l="1"/>
  <c r="G18" s="1"/>
  <c r="M19"/>
  <c r="D17" s="1"/>
  <c r="C2"/>
  <c r="M4"/>
  <c r="D2" s="1"/>
  <c r="D4" s="1"/>
  <c r="B11" s="1"/>
  <c r="G27"/>
  <c r="H13"/>
  <c r="O2" i="4"/>
  <c r="O8"/>
  <c r="O4"/>
  <c r="O20"/>
  <c r="O6"/>
  <c r="O14"/>
  <c r="O10"/>
  <c r="O16"/>
  <c r="O12"/>
  <c r="O18"/>
  <c r="B23" i="2"/>
  <c r="P2"/>
  <c r="P13" s="1"/>
  <c r="O13"/>
  <c r="D18"/>
  <c r="H28"/>
  <c r="H14" s="1"/>
  <c r="D19"/>
  <c r="H19" l="1"/>
  <c r="H5" s="1"/>
  <c r="C18"/>
  <c r="C3"/>
  <c r="G3"/>
  <c r="B8"/>
  <c r="B10" s="1"/>
  <c r="D15"/>
  <c r="I14" s="1"/>
  <c r="I15" s="1"/>
  <c r="J15" s="1"/>
  <c r="G12"/>
  <c r="C15"/>
  <c r="I5" s="1"/>
  <c r="I6" s="1"/>
  <c r="J6" s="1"/>
  <c r="H4"/>
  <c r="D3"/>
  <c r="D5"/>
  <c r="B12"/>
  <c r="D6" s="1"/>
  <c r="G8" i="1"/>
  <c r="K8"/>
  <c r="G12"/>
  <c r="L12"/>
  <c r="F8"/>
  <c r="J8"/>
  <c r="F12"/>
  <c r="N12"/>
  <c r="I8"/>
  <c r="M8"/>
  <c r="E12"/>
  <c r="M12"/>
  <c r="C12"/>
  <c r="D8"/>
  <c r="L8"/>
  <c r="C8"/>
  <c r="C32"/>
  <c r="C20"/>
  <c r="C28"/>
  <c r="D9" i="2"/>
  <c r="D13" s="1"/>
  <c r="H15"/>
  <c r="K4" i="1"/>
  <c r="K32"/>
  <c r="K36"/>
  <c r="K40"/>
  <c r="M36"/>
  <c r="L4"/>
  <c r="J4"/>
  <c r="N16"/>
  <c r="N20"/>
  <c r="N24"/>
  <c r="J32"/>
  <c r="N32"/>
  <c r="J36"/>
  <c r="J40"/>
  <c r="N40"/>
  <c r="M4"/>
  <c r="M16"/>
  <c r="M20"/>
  <c r="M28"/>
  <c r="M32"/>
  <c r="L32"/>
  <c r="L36"/>
  <c r="L40"/>
  <c r="C40"/>
  <c r="F4"/>
  <c r="F16"/>
  <c r="F20"/>
  <c r="F24"/>
  <c r="F28"/>
  <c r="F32"/>
  <c r="F40"/>
  <c r="E4"/>
  <c r="I32"/>
  <c r="I36"/>
  <c r="I40"/>
  <c r="H4"/>
  <c r="D36"/>
  <c r="D40"/>
  <c r="G4"/>
  <c r="G16"/>
  <c r="G20"/>
  <c r="G24"/>
  <c r="G28"/>
  <c r="G32"/>
  <c r="G36"/>
  <c r="G40"/>
  <c r="F36"/>
  <c r="I4"/>
  <c r="E16"/>
  <c r="E20"/>
  <c r="E24"/>
  <c r="E28"/>
  <c r="E32"/>
  <c r="E36"/>
  <c r="E40"/>
  <c r="D4"/>
  <c r="D16"/>
  <c r="D20"/>
  <c r="D24"/>
  <c r="D28"/>
  <c r="D32"/>
  <c r="H32"/>
  <c r="H36"/>
  <c r="H40"/>
  <c r="B9" i="2"/>
  <c r="M5" s="1"/>
  <c r="B25"/>
  <c r="B24"/>
  <c r="D20"/>
  <c r="B26"/>
  <c r="D24"/>
  <c r="H6" l="1"/>
  <c r="D26"/>
  <c r="B27"/>
  <c r="D21" s="1"/>
  <c r="M21" s="1"/>
  <c r="F27"/>
  <c r="K7" i="1"/>
  <c r="N7"/>
  <c r="C11"/>
  <c r="E11"/>
  <c r="D7"/>
  <c r="L11"/>
  <c r="M19"/>
  <c r="M35"/>
  <c r="K39"/>
  <c r="N19"/>
  <c r="N35"/>
  <c r="L39"/>
  <c r="J39"/>
  <c r="D3"/>
  <c r="D19"/>
  <c r="D27"/>
  <c r="D35"/>
  <c r="G3"/>
  <c r="G27"/>
  <c r="F23"/>
  <c r="I3"/>
  <c r="E27"/>
  <c r="I35"/>
  <c r="F39"/>
  <c r="F12" i="2"/>
  <c r="C39" i="1"/>
  <c r="G7"/>
  <c r="J7"/>
  <c r="N11"/>
  <c r="M7"/>
  <c r="C7"/>
  <c r="D11"/>
  <c r="M15"/>
  <c r="M31"/>
  <c r="N15"/>
  <c r="N31"/>
  <c r="L3"/>
  <c r="L35"/>
  <c r="K31"/>
  <c r="J35"/>
  <c r="H31"/>
  <c r="G23"/>
  <c r="G39"/>
  <c r="F19"/>
  <c r="E3"/>
  <c r="E23"/>
  <c r="E35"/>
  <c r="F35"/>
  <c r="D11" i="2"/>
  <c r="G11" i="1"/>
  <c r="F7"/>
  <c r="I7"/>
  <c r="M11"/>
  <c r="L7"/>
  <c r="M3"/>
  <c r="M27"/>
  <c r="J3"/>
  <c r="N27"/>
  <c r="L31"/>
  <c r="K3"/>
  <c r="J31"/>
  <c r="D15"/>
  <c r="D23"/>
  <c r="D31"/>
  <c r="D39"/>
  <c r="G19"/>
  <c r="G35"/>
  <c r="F15"/>
  <c r="F31"/>
  <c r="E19"/>
  <c r="I31"/>
  <c r="I39"/>
  <c r="C27"/>
  <c r="C19"/>
  <c r="F11"/>
  <c r="E7"/>
  <c r="H7"/>
  <c r="M23"/>
  <c r="M39"/>
  <c r="N23"/>
  <c r="N39"/>
  <c r="K35"/>
  <c r="N3"/>
  <c r="H3"/>
  <c r="H35"/>
  <c r="G15"/>
  <c r="G31"/>
  <c r="F3"/>
  <c r="F27"/>
  <c r="E15"/>
  <c r="E31"/>
  <c r="E39"/>
  <c r="H39"/>
  <c r="C23"/>
  <c r="C31"/>
  <c r="M24"/>
  <c r="N36"/>
  <c r="N28"/>
  <c r="N4"/>
  <c r="M40"/>
  <c r="P32"/>
  <c r="C24"/>
  <c r="H8"/>
  <c r="E8"/>
  <c r="N8"/>
  <c r="D12"/>
  <c r="M20" i="2"/>
  <c r="C13" i="1"/>
  <c r="L13"/>
  <c r="L7" i="4" s="1"/>
  <c r="M33" i="1"/>
  <c r="M17" i="4" s="1"/>
  <c r="L37" i="1"/>
  <c r="L19" i="4" s="1"/>
  <c r="N21" i="1"/>
  <c r="N11" i="4" s="1"/>
  <c r="D21" i="1"/>
  <c r="D11" i="4" s="1"/>
  <c r="C25" i="1"/>
  <c r="C13" i="4" s="1"/>
  <c r="E21" i="1"/>
  <c r="E11" i="4" s="1"/>
  <c r="M13" i="1"/>
  <c r="M7" i="4" s="1"/>
  <c r="M17" i="1"/>
  <c r="M9" i="4" s="1"/>
  <c r="L5" i="1"/>
  <c r="L3" i="4" s="1"/>
  <c r="K41" i="1"/>
  <c r="K21" i="4" s="1"/>
  <c r="D5" i="1"/>
  <c r="D3" i="4" s="1"/>
  <c r="G5" i="1"/>
  <c r="G3" i="4" s="1"/>
  <c r="I41" i="1"/>
  <c r="I21" i="4" s="1"/>
  <c r="F25" i="1"/>
  <c r="F13" i="4" s="1"/>
  <c r="K9" i="1"/>
  <c r="K5" i="4" s="1"/>
  <c r="I9" i="1"/>
  <c r="I5" i="4" s="1"/>
  <c r="J33" i="1"/>
  <c r="J17" i="4" s="1"/>
  <c r="D37" i="1"/>
  <c r="D19" i="4" s="1"/>
  <c r="I33" i="1"/>
  <c r="I17" i="4" s="1"/>
  <c r="F13" i="1"/>
  <c r="F7" i="4" s="1"/>
  <c r="N37" i="1"/>
  <c r="N19" i="4" s="1"/>
  <c r="D29" i="1"/>
  <c r="D15" i="4" s="1"/>
  <c r="G29" i="1"/>
  <c r="G15" i="4" s="1"/>
  <c r="G9" i="1"/>
  <c r="G5" i="4" s="1"/>
  <c r="M6" i="2"/>
  <c r="D7"/>
  <c r="D8" s="1"/>
  <c r="F29" i="1"/>
  <c r="F15" i="4" s="1"/>
  <c r="F5" i="1"/>
  <c r="F3" i="4" s="1"/>
  <c r="G33" i="1"/>
  <c r="G17" i="4" s="1"/>
  <c r="G17" i="1"/>
  <c r="G9" i="4" s="1"/>
  <c r="E37" i="1"/>
  <c r="E19" i="4" s="1"/>
  <c r="E25" i="1"/>
  <c r="E13" i="4" s="1"/>
  <c r="E5" i="1"/>
  <c r="E3" i="4" s="1"/>
  <c r="F33" i="1"/>
  <c r="F17" i="4" s="1"/>
  <c r="H37" i="1"/>
  <c r="H19" i="4" s="1"/>
  <c r="H15"/>
  <c r="H11"/>
  <c r="H5" i="1"/>
  <c r="H3" i="4" s="1"/>
  <c r="N41" i="1"/>
  <c r="N21" i="4" s="1"/>
  <c r="N25" i="1"/>
  <c r="N13" i="4" s="1"/>
  <c r="K33" i="1"/>
  <c r="K17" i="4" s="1"/>
  <c r="L41" i="1"/>
  <c r="L21" i="4" s="1"/>
  <c r="L13"/>
  <c r="J37" i="1"/>
  <c r="J19" i="4" s="1"/>
  <c r="M37" i="1"/>
  <c r="M19" i="4" s="1"/>
  <c r="M21" i="1"/>
  <c r="M11" i="4" s="1"/>
  <c r="H9" i="1"/>
  <c r="H5" i="4" s="1"/>
  <c r="M9" i="1"/>
  <c r="M5" i="4" s="1"/>
  <c r="J7"/>
  <c r="F9" i="1"/>
  <c r="F5" i="4" s="1"/>
  <c r="C9" i="1"/>
  <c r="C29"/>
  <c r="C15" i="4" s="1"/>
  <c r="C41" i="1"/>
  <c r="F17"/>
  <c r="F9" i="4" s="1"/>
  <c r="G37" i="1"/>
  <c r="G19" i="4" s="1"/>
  <c r="G21" i="1"/>
  <c r="G11" i="4" s="1"/>
  <c r="I37" i="1"/>
  <c r="I19" i="4" s="1"/>
  <c r="E29" i="1"/>
  <c r="E15" i="4" s="1"/>
  <c r="I5" i="1"/>
  <c r="I3" i="4" s="1"/>
  <c r="F37" i="1"/>
  <c r="F19" i="4" s="1"/>
  <c r="H41" i="1"/>
  <c r="H21" i="4" s="1"/>
  <c r="D33" i="1"/>
  <c r="D17" i="4" s="1"/>
  <c r="D25" i="1"/>
  <c r="D13" i="4" s="1"/>
  <c r="D17" i="1"/>
  <c r="D9" i="4" s="1"/>
  <c r="N29" i="1"/>
  <c r="N15" i="4" s="1"/>
  <c r="J5" i="1"/>
  <c r="J3" i="4" s="1"/>
  <c r="L15"/>
  <c r="J41" i="1"/>
  <c r="J21" i="4" s="1"/>
  <c r="M41" i="1"/>
  <c r="M21" i="4" s="1"/>
  <c r="M25" i="1"/>
  <c r="M13" i="4" s="1"/>
  <c r="L9" i="1"/>
  <c r="L5" i="4" s="1"/>
  <c r="E13" i="1"/>
  <c r="E7" i="4" s="1"/>
  <c r="N13" i="1"/>
  <c r="N7" i="4" s="1"/>
  <c r="J9" i="1"/>
  <c r="J5" i="4" s="1"/>
  <c r="D9" i="1"/>
  <c r="D5" i="4" s="1"/>
  <c r="G13" i="1"/>
  <c r="G7" i="4" s="1"/>
  <c r="C21" i="1"/>
  <c r="C11" i="4" s="1"/>
  <c r="C33" i="1"/>
  <c r="F21"/>
  <c r="F11" i="4" s="1"/>
  <c r="G41" i="1"/>
  <c r="G21" i="4" s="1"/>
  <c r="G25" i="1"/>
  <c r="G13" i="4" s="1"/>
  <c r="D41" i="1"/>
  <c r="D21" i="4" s="1"/>
  <c r="E41" i="1"/>
  <c r="E21" i="4" s="1"/>
  <c r="E33" i="1"/>
  <c r="E17" i="4" s="1"/>
  <c r="E17" i="1"/>
  <c r="E9" i="4" s="1"/>
  <c r="F41" i="1"/>
  <c r="F21" i="4" s="1"/>
  <c r="H33" i="1"/>
  <c r="H17" i="4" s="1"/>
  <c r="H13"/>
  <c r="H9"/>
  <c r="N33" i="1"/>
  <c r="N17" i="4" s="1"/>
  <c r="N17" i="1"/>
  <c r="N9" i="4" s="1"/>
  <c r="K37" i="1"/>
  <c r="K19" i="4" s="1"/>
  <c r="K5" i="1"/>
  <c r="K3" i="4" s="1"/>
  <c r="L33" i="1"/>
  <c r="L17" i="4" s="1"/>
  <c r="N5" i="1"/>
  <c r="N3" i="4" s="1"/>
  <c r="M29" i="1"/>
  <c r="M15" i="4" s="1"/>
  <c r="M5" i="1"/>
  <c r="M3" i="4" s="1"/>
  <c r="D13" i="1"/>
  <c r="D7" i="4" s="1"/>
  <c r="I7"/>
  <c r="E9" i="1"/>
  <c r="E5" i="4" s="1"/>
  <c r="N9" i="1"/>
  <c r="N5" i="4" s="1"/>
  <c r="H7"/>
  <c r="K7"/>
  <c r="B29" i="2"/>
  <c r="F11"/>
  <c r="F13" s="1"/>
  <c r="B30"/>
  <c r="P20" i="1"/>
  <c r="D10" i="2"/>
  <c r="A3"/>
  <c r="B28"/>
  <c r="D27"/>
  <c r="A18"/>
  <c r="F26"/>
  <c r="F28" s="1"/>
  <c r="D28"/>
  <c r="D25"/>
  <c r="C17" i="1"/>
  <c r="C9" i="4" s="1"/>
  <c r="C16" i="1"/>
  <c r="P16" s="1"/>
  <c r="C15"/>
  <c r="C14"/>
  <c r="C3"/>
  <c r="C5"/>
  <c r="C2"/>
  <c r="C4"/>
  <c r="P28" l="1"/>
  <c r="P8"/>
  <c r="P40"/>
  <c r="P24"/>
  <c r="P12"/>
  <c r="O3"/>
  <c r="O7"/>
  <c r="O11"/>
  <c r="D12" i="2"/>
  <c r="B13"/>
  <c r="G10" i="1"/>
  <c r="L10"/>
  <c r="F10"/>
  <c r="I6"/>
  <c r="M10"/>
  <c r="N18"/>
  <c r="N30"/>
  <c r="N38"/>
  <c r="M14"/>
  <c r="M30"/>
  <c r="L2"/>
  <c r="F22"/>
  <c r="F38"/>
  <c r="E22"/>
  <c r="E38"/>
  <c r="D14"/>
  <c r="D30"/>
  <c r="G2"/>
  <c r="G26"/>
  <c r="I34"/>
  <c r="H30"/>
  <c r="C10"/>
  <c r="C38"/>
  <c r="F14"/>
  <c r="E14"/>
  <c r="C6"/>
  <c r="H38"/>
  <c r="G34"/>
  <c r="D38"/>
  <c r="C26"/>
  <c r="K2"/>
  <c r="K34"/>
  <c r="L30"/>
  <c r="N22"/>
  <c r="M34"/>
  <c r="F26"/>
  <c r="E26"/>
  <c r="D18"/>
  <c r="G14"/>
  <c r="C22"/>
  <c r="D10"/>
  <c r="N6"/>
  <c r="E6"/>
  <c r="L6"/>
  <c r="K30"/>
  <c r="K38"/>
  <c r="L38"/>
  <c r="N14"/>
  <c r="J30"/>
  <c r="J38"/>
  <c r="M2"/>
  <c r="M26"/>
  <c r="F18"/>
  <c r="F34"/>
  <c r="E18"/>
  <c r="E34"/>
  <c r="D2"/>
  <c r="D26"/>
  <c r="G22"/>
  <c r="G38"/>
  <c r="I30"/>
  <c r="H2"/>
  <c r="C30"/>
  <c r="K6"/>
  <c r="J6"/>
  <c r="N10"/>
  <c r="E10"/>
  <c r="H6"/>
  <c r="L34"/>
  <c r="N2"/>
  <c r="N26"/>
  <c r="N34"/>
  <c r="M22"/>
  <c r="M38"/>
  <c r="F30"/>
  <c r="E30"/>
  <c r="D22"/>
  <c r="G18"/>
  <c r="I2"/>
  <c r="C18"/>
  <c r="G6"/>
  <c r="F6"/>
  <c r="M6"/>
  <c r="D6"/>
  <c r="J2"/>
  <c r="J34"/>
  <c r="M18"/>
  <c r="F2"/>
  <c r="E2"/>
  <c r="H34"/>
  <c r="G30"/>
  <c r="I38"/>
  <c r="D34"/>
  <c r="O39"/>
  <c r="O15"/>
  <c r="O23"/>
  <c r="O27"/>
  <c r="P4"/>
  <c r="O31"/>
  <c r="O19"/>
  <c r="L11" i="4"/>
  <c r="I9"/>
  <c r="J9"/>
  <c r="E26"/>
  <c r="I26"/>
  <c r="G26"/>
  <c r="F26"/>
  <c r="J26"/>
  <c r="H26"/>
  <c r="D26"/>
  <c r="K26"/>
  <c r="J13"/>
  <c r="J11"/>
  <c r="K13"/>
  <c r="M22" i="2"/>
  <c r="K9" i="4"/>
  <c r="I11"/>
  <c r="L9"/>
  <c r="I15"/>
  <c r="D22" i="2"/>
  <c r="D23" s="1"/>
  <c r="K11" i="4"/>
  <c r="K15"/>
  <c r="J15"/>
  <c r="I13"/>
  <c r="D27"/>
  <c r="F27"/>
  <c r="J27"/>
  <c r="E27"/>
  <c r="I27"/>
  <c r="H27"/>
  <c r="G27"/>
  <c r="K27"/>
  <c r="M7" i="2"/>
  <c r="R41" i="1"/>
  <c r="R33"/>
  <c r="C17" i="4"/>
  <c r="P17" s="1"/>
  <c r="C21"/>
  <c r="P21" s="1"/>
  <c r="C5"/>
  <c r="R9" i="1"/>
  <c r="C3" i="4"/>
  <c r="R5" i="1"/>
  <c r="C7" i="4"/>
  <c r="R13" i="1"/>
  <c r="C37"/>
  <c r="C35"/>
  <c r="O35" s="1"/>
  <c r="C34"/>
  <c r="C36"/>
  <c r="P36" s="1"/>
  <c r="Q22" l="1"/>
  <c r="Q18"/>
  <c r="Q26"/>
  <c r="Q14"/>
  <c r="Q2"/>
  <c r="Q10"/>
  <c r="Q6"/>
  <c r="Q38"/>
  <c r="Q34"/>
  <c r="Q30"/>
  <c r="R21"/>
  <c r="P15" i="4"/>
  <c r="P13"/>
  <c r="R17" i="1"/>
  <c r="P9" i="4" s="1"/>
  <c r="P11"/>
  <c r="R25" i="1"/>
  <c r="R29"/>
  <c r="P3" i="4"/>
  <c r="P7"/>
  <c r="P5"/>
  <c r="C19"/>
  <c r="R37" i="1"/>
  <c r="O1" i="3"/>
  <c r="O1" i="1"/>
  <c r="O1" i="4"/>
  <c r="O22" s="1"/>
  <c r="P1" i="1"/>
  <c r="Q1" l="1"/>
  <c r="R1"/>
  <c r="P19" i="4"/>
  <c r="P1" s="1"/>
</calcChain>
</file>

<file path=xl/sharedStrings.xml><?xml version="1.0" encoding="utf-8"?>
<sst xmlns="http://schemas.openxmlformats.org/spreadsheetml/2006/main" count="312" uniqueCount="94">
  <si>
    <t>Depth</t>
  </si>
  <si>
    <t>Persulfate</t>
  </si>
  <si>
    <t>NaOH</t>
  </si>
  <si>
    <t>Cell Info</t>
  </si>
  <si>
    <t>#Klozur/#Total Solu</t>
  </si>
  <si>
    <t>Total #</t>
  </si>
  <si>
    <t>Lgth</t>
  </si>
  <si>
    <t>S/Sacks</t>
  </si>
  <si>
    <t># -/+</t>
  </si>
  <si>
    <t>#/yd3</t>
  </si>
  <si>
    <t>Width</t>
  </si>
  <si>
    <t>#Klozur/#H2O%</t>
  </si>
  <si>
    <t>NaOH Gallons</t>
  </si>
  <si>
    <t>g Klozur /L solution</t>
  </si>
  <si>
    <t>NaOH Gal/yd3</t>
  </si>
  <si>
    <t>Yd3</t>
  </si>
  <si>
    <t>#Klozur/gal solution</t>
  </si>
  <si>
    <t>Solu gal/Yd3</t>
  </si>
  <si>
    <t>Yd3/Day</t>
  </si>
  <si>
    <t>#Klozur/gal H2O</t>
  </si>
  <si>
    <t>Solu gal/Cell</t>
  </si>
  <si>
    <t>Cells/day</t>
  </si>
  <si>
    <t xml:space="preserve">Total #Klozur </t>
  </si>
  <si>
    <t>Solution Gpm</t>
  </si>
  <si>
    <t>Hours/Day</t>
  </si>
  <si>
    <t>Total gal H2O</t>
  </si>
  <si>
    <t>NaOH #/Cell</t>
  </si>
  <si>
    <t>Factor</t>
  </si>
  <si>
    <t>Klozur-H2O Solution</t>
  </si>
  <si>
    <t>NaOH #/Min</t>
  </si>
  <si>
    <t>Minutes/Cell</t>
  </si>
  <si>
    <t>Gal NaOH</t>
  </si>
  <si>
    <t>#Klozur/Cell</t>
  </si>
  <si>
    <t>H2O/Cell</t>
  </si>
  <si>
    <t>Drums</t>
  </si>
  <si>
    <t>Total Solution</t>
  </si>
  <si>
    <t>#Klozur/Min</t>
  </si>
  <si>
    <t>H2O/Yd3</t>
  </si>
  <si>
    <t>#Persulfate/Day</t>
  </si>
  <si>
    <t>NaOH #/Day</t>
  </si>
  <si>
    <t>H2O/Day</t>
  </si>
  <si>
    <t>H2O</t>
  </si>
  <si>
    <t>Solution</t>
  </si>
  <si>
    <t>Klozur#</t>
  </si>
  <si>
    <t>NaOH#</t>
  </si>
  <si>
    <t>Length</t>
  </si>
  <si>
    <t>Order Qty</t>
  </si>
  <si>
    <t>E1</t>
  </si>
  <si>
    <t>E2</t>
  </si>
  <si>
    <t>E3</t>
  </si>
  <si>
    <t>E4</t>
  </si>
  <si>
    <t>E5</t>
  </si>
  <si>
    <t>E6</t>
  </si>
  <si>
    <t>E7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</si>
  <si>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</si>
  <si>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</si>
  <si>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</si>
  <si>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</si>
  <si>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</si>
  <si>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</si>
  <si>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</si>
  <si>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</si>
  <si>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</si>
  <si>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</si>
  <si>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Soil#/ft^3</t>
  </si>
  <si>
    <t>Soil#/yd^3</t>
  </si>
  <si>
    <t>Soil Mass</t>
  </si>
  <si>
    <t>Klozur</t>
  </si>
  <si>
    <t>PC</t>
  </si>
  <si>
    <t>Extra</t>
  </si>
  <si>
    <t>S</t>
  </si>
  <si>
    <t>lb</t>
  </si>
  <si>
    <t>Tons</t>
  </si>
  <si>
    <t>Total PC</t>
  </si>
  <si>
    <t>Top</t>
  </si>
  <si>
    <t>Target</t>
  </si>
  <si>
    <t>PC lb/Solution gal</t>
  </si>
  <si>
    <t>lb/minute High dose</t>
  </si>
  <si>
    <t>lb/minute Low dose</t>
  </si>
  <si>
    <t>Solution GPM</t>
  </si>
  <si>
    <t>E8</t>
  </si>
  <si>
    <t>E9</t>
  </si>
  <si>
    <t>E10</t>
  </si>
  <si>
    <t>E11</t>
  </si>
  <si>
    <t>E12</t>
  </si>
  <si>
    <t>Total Low Dose Yd3</t>
  </si>
  <si>
    <t>Total High Dose Yd3</t>
  </si>
  <si>
    <t>Grand Total Solution</t>
  </si>
  <si>
    <t>Grand Total Yd^3</t>
  </si>
  <si>
    <t>Grand Totals</t>
  </si>
  <si>
    <t>Grand Total H2O</t>
  </si>
  <si>
    <t>PC/day</t>
  </si>
  <si>
    <t>Solution#/gal</t>
  </si>
  <si>
    <t>Solution/PC Ratio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</si>
</sst>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164" formatCode="0.000%"/>
    <numFmt numFmtId="165" formatCode="0.000"/>
    <numFmt numFmtId="166" formatCode="0.0"/>
    <numFmt numFmtId="167" formatCode="0.0%"/>
    <numFmt numFmtId="168" formatCode="_(&quot;$&quot;* #,##0.000_);_(&quot;$&quot;* \(#,##0.000\);_(&quot;$&quot;* &quot;-&quot;???_);_(@_)"/>
    <numFmt numFmtId="169" formatCode="#,##0.0"/>
  </numFmts>
  <fonts count="4">
    <font>
      <sz val="10"/>
      <name val="Arial"/>
    </font>
    <font>
      <sz val="8"/>
      <name val="Arial"/>
      <family val="2"/>
    </font>
    <font>
      <sz val="12"/>
      <name val="Times New Roman"/>
      <family val="1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9">
    <xf numFmtId="0" fontId="0" fillId="0" borderId="0" xfId="0"/>
    <xf numFmtId="0" fontId="2" fillId="0" borderId="0" xfId="0" applyFont="1"/>
    <xf numFmtId="2" fontId="2" fillId="0" borderId="0" xfId="0" applyNumberFormat="1" applyFont="1"/>
    <xf numFmtId="1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3" fontId="2" fillId="2" borderId="1" xfId="0" applyNumberFormat="1" applyFont="1" applyFill="1" applyBorder="1" applyProtection="1">
      <protection locked="0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  <xf numFmtId="164" fontId="2" fillId="3" borderId="3" xfId="0" applyNumberFormat="1" applyFont="1" applyFill="1" applyBorder="1"/>
    <xf numFmtId="4" fontId="2" fillId="0" borderId="0" xfId="0" applyNumberFormat="1" applyFont="1"/>
    <xf numFmtId="165" fontId="2" fillId="4" borderId="1" xfId="0" applyNumberFormat="1" applyFont="1" applyFill="1" applyBorder="1" applyProtection="1">
      <protection locked="0"/>
    </xf>
    <xf numFmtId="3" fontId="2" fillId="0" borderId="0" xfId="0" applyNumberFormat="1" applyFont="1"/>
    <xf numFmtId="0" fontId="2" fillId="2" borderId="1" xfId="0" applyFont="1" applyFill="1" applyBorder="1" applyProtection="1">
      <protection locked="0"/>
    </xf>
    <xf numFmtId="38" fontId="2" fillId="0" borderId="0" xfId="0" applyNumberFormat="1" applyFont="1"/>
    <xf numFmtId="0" fontId="2" fillId="0" borderId="0" xfId="0" applyFont="1" applyBorder="1" applyAlignment="1">
      <alignment horizontal="right"/>
    </xf>
    <xf numFmtId="166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5" fontId="2" fillId="0" borderId="0" xfId="0" applyNumberFormat="1" applyFont="1" applyFill="1" applyBorder="1"/>
    <xf numFmtId="0" fontId="2" fillId="5" borderId="1" xfId="0" applyFont="1" applyFill="1" applyBorder="1" applyAlignment="1">
      <alignment horizontal="right"/>
    </xf>
    <xf numFmtId="2" fontId="2" fillId="5" borderId="1" xfId="0" applyNumberFormat="1" applyFont="1" applyFill="1" applyBorder="1"/>
    <xf numFmtId="4" fontId="2" fillId="0" borderId="1" xfId="0" applyNumberFormat="1" applyFont="1" applyFill="1" applyBorder="1" applyProtection="1"/>
    <xf numFmtId="2" fontId="2" fillId="0" borderId="0" xfId="0" applyNumberFormat="1" applyFont="1" applyFill="1"/>
    <xf numFmtId="1" fontId="2" fillId="5" borderId="1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166" fontId="2" fillId="5" borderId="1" xfId="0" applyNumberFormat="1" applyFont="1" applyFill="1" applyBorder="1"/>
    <xf numFmtId="0" fontId="2" fillId="6" borderId="1" xfId="0" applyFont="1" applyFill="1" applyBorder="1" applyAlignment="1">
      <alignment horizontal="right"/>
    </xf>
    <xf numFmtId="166" fontId="2" fillId="6" borderId="1" xfId="0" applyNumberFormat="1" applyFont="1" applyFill="1" applyBorder="1" applyAlignment="1">
      <alignment horizontal="right"/>
    </xf>
    <xf numFmtId="9" fontId="2" fillId="2" borderId="1" xfId="0" applyNumberFormat="1" applyFont="1" applyFill="1" applyBorder="1" applyProtection="1">
      <protection locked="0"/>
    </xf>
    <xf numFmtId="3" fontId="2" fillId="0" borderId="0" xfId="0" applyNumberFormat="1" applyFont="1" applyFill="1" applyBorder="1"/>
    <xf numFmtId="166" fontId="2" fillId="6" borderId="1" xfId="0" applyNumberFormat="1" applyFont="1" applyFill="1" applyBorder="1"/>
    <xf numFmtId="166" fontId="2" fillId="0" borderId="0" xfId="0" applyNumberFormat="1" applyFont="1"/>
    <xf numFmtId="0" fontId="2" fillId="7" borderId="1" xfId="0" applyFont="1" applyFill="1" applyBorder="1" applyAlignment="1">
      <alignment horizontal="right"/>
    </xf>
    <xf numFmtId="1" fontId="2" fillId="7" borderId="1" xfId="0" applyNumberFormat="1" applyFont="1" applyFill="1" applyBorder="1"/>
    <xf numFmtId="0" fontId="2" fillId="8" borderId="1" xfId="0" applyFont="1" applyFill="1" applyBorder="1" applyAlignment="1">
      <alignment horizontal="right"/>
    </xf>
    <xf numFmtId="1" fontId="2" fillId="8" borderId="1" xfId="0" applyNumberFormat="1" applyFont="1" applyFill="1" applyBorder="1"/>
    <xf numFmtId="166" fontId="2" fillId="7" borderId="1" xfId="0" applyNumberFormat="1" applyFont="1" applyFill="1" applyBorder="1"/>
    <xf numFmtId="2" fontId="2" fillId="8" borderId="1" xfId="0" applyNumberFormat="1" applyFont="1" applyFill="1" applyBorder="1"/>
    <xf numFmtId="0" fontId="2" fillId="9" borderId="1" xfId="0" applyFont="1" applyFill="1" applyBorder="1" applyAlignment="1">
      <alignment horizontal="right"/>
    </xf>
    <xf numFmtId="3" fontId="2" fillId="9" borderId="1" xfId="0" applyNumberFormat="1" applyFont="1" applyFill="1" applyBorder="1" applyAlignment="1">
      <alignment horizontal="right"/>
    </xf>
    <xf numFmtId="1" fontId="2" fillId="2" borderId="0" xfId="0" applyNumberFormat="1" applyFont="1" applyFill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1" fontId="2" fillId="11" borderId="4" xfId="0" applyNumberFormat="1" applyFont="1" applyFill="1" applyBorder="1" applyAlignment="1">
      <alignment horizontal="center" vertical="center"/>
    </xf>
    <xf numFmtId="1" fontId="2" fillId="9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Border="1" applyAlignment="1">
      <alignment horizontal="right"/>
    </xf>
    <xf numFmtId="4" fontId="2" fillId="2" borderId="5" xfId="0" applyNumberFormat="1" applyFont="1" applyFill="1" applyBorder="1"/>
    <xf numFmtId="4" fontId="2" fillId="2" borderId="6" xfId="0" applyNumberFormat="1" applyFont="1" applyFill="1" applyBorder="1"/>
    <xf numFmtId="4" fontId="2" fillId="12" borderId="5" xfId="0" applyNumberFormat="1" applyFont="1" applyFill="1" applyBorder="1"/>
    <xf numFmtId="4" fontId="2" fillId="12" borderId="6" xfId="0" applyNumberFormat="1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2" fontId="2" fillId="0" borderId="0" xfId="0" applyNumberFormat="1" applyFont="1" applyFill="1" applyBorder="1"/>
    <xf numFmtId="4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/>
    <xf numFmtId="3" fontId="2" fillId="0" borderId="0" xfId="0" applyNumberFormat="1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right"/>
      <protection locked="0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4" fontId="2" fillId="0" borderId="0" xfId="0" applyNumberFormat="1" applyFont="1" applyFill="1" applyBorder="1" applyProtection="1"/>
    <xf numFmtId="9" fontId="2" fillId="0" borderId="0" xfId="0" applyNumberFormat="1" applyFont="1" applyFill="1" applyBorder="1" applyProtection="1">
      <protection locked="0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/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10" borderId="6" xfId="0" applyNumberFormat="1" applyFont="1" applyFill="1" applyBorder="1" applyAlignment="1">
      <alignment horizontal="center"/>
    </xf>
    <xf numFmtId="3" fontId="2" fillId="9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11" borderId="5" xfId="0" applyNumberFormat="1" applyFont="1" applyFill="1" applyBorder="1"/>
    <xf numFmtId="3" fontId="2" fillId="9" borderId="6" xfId="0" applyNumberFormat="1" applyFont="1" applyFill="1" applyBorder="1"/>
    <xf numFmtId="3" fontId="2" fillId="9" borderId="6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/>
    <xf numFmtId="1" fontId="2" fillId="8" borderId="0" xfId="0" applyNumberFormat="1" applyFont="1" applyFill="1" applyAlignment="1">
      <alignment horizontal="center" vertical="center"/>
    </xf>
    <xf numFmtId="2" fontId="2" fillId="8" borderId="4" xfId="0" applyNumberFormat="1" applyFont="1" applyFill="1" applyBorder="1" applyAlignment="1">
      <alignment horizontal="right"/>
    </xf>
    <xf numFmtId="2" fontId="2" fillId="2" borderId="4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 applyProtection="1">
      <protection locked="0"/>
    </xf>
    <xf numFmtId="0" fontId="2" fillId="0" borderId="1" xfId="0" applyNumberFormat="1" applyFont="1" applyFill="1" applyBorder="1" applyAlignment="1" applyProtection="1">
      <alignment horizontal="right"/>
      <protection locked="0"/>
    </xf>
    <xf numFmtId="4" fontId="2" fillId="0" borderId="1" xfId="0" applyNumberFormat="1" applyFont="1" applyFill="1" applyBorder="1" applyAlignment="1" applyProtection="1">
      <protection locked="0"/>
    </xf>
    <xf numFmtId="9" fontId="2" fillId="0" borderId="0" xfId="1" applyFont="1" applyFill="1" applyBorder="1"/>
    <xf numFmtId="9" fontId="2" fillId="0" borderId="0" xfId="1" applyFont="1" applyFill="1" applyBorder="1" applyAlignment="1">
      <alignment horizontal="right"/>
    </xf>
    <xf numFmtId="0" fontId="2" fillId="0" borderId="0" xfId="0" applyFont="1" applyBorder="1"/>
    <xf numFmtId="9" fontId="2" fillId="0" borderId="0" xfId="1" applyFont="1"/>
    <xf numFmtId="0" fontId="2" fillId="0" borderId="1" xfId="0" applyFont="1" applyFill="1" applyBorder="1" applyProtection="1">
      <protection locked="0"/>
    </xf>
    <xf numFmtId="3" fontId="2" fillId="14" borderId="0" xfId="0" applyNumberFormat="1" applyFont="1" applyFill="1"/>
    <xf numFmtId="4" fontId="2" fillId="14" borderId="1" xfId="0" applyNumberFormat="1" applyFont="1" applyFill="1" applyBorder="1" applyAlignment="1" applyProtection="1">
      <alignment horizontal="right"/>
    </xf>
    <xf numFmtId="38" fontId="2" fillId="14" borderId="0" xfId="0" applyNumberFormat="1" applyFont="1" applyFill="1"/>
    <xf numFmtId="0" fontId="2" fillId="14" borderId="0" xfId="0" applyFont="1" applyFill="1" applyAlignment="1">
      <alignment horizontal="right"/>
    </xf>
    <xf numFmtId="0" fontId="2" fillId="0" borderId="8" xfId="0" applyFont="1" applyBorder="1" applyAlignment="1">
      <alignment horizontal="right"/>
    </xf>
    <xf numFmtId="3" fontId="2" fillId="8" borderId="10" xfId="0" applyNumberFormat="1" applyFont="1" applyFill="1" applyBorder="1"/>
    <xf numFmtId="3" fontId="2" fillId="8" borderId="11" xfId="0" applyNumberFormat="1" applyFont="1" applyFill="1" applyBorder="1"/>
    <xf numFmtId="0" fontId="2" fillId="0" borderId="12" xfId="0" applyFont="1" applyBorder="1" applyAlignment="1">
      <alignment horizontal="right"/>
    </xf>
    <xf numFmtId="3" fontId="2" fillId="13" borderId="13" xfId="0" applyNumberFormat="1" applyFont="1" applyFill="1" applyBorder="1"/>
    <xf numFmtId="3" fontId="2" fillId="13" borderId="3" xfId="0" applyNumberFormat="1" applyFont="1" applyFill="1" applyBorder="1"/>
    <xf numFmtId="3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1" xfId="0" applyNumberFormat="1" applyFont="1" applyFill="1" applyBorder="1" applyAlignment="1" applyProtection="1">
      <alignment horizontal="center"/>
      <protection locked="0"/>
    </xf>
    <xf numFmtId="2" fontId="2" fillId="0" borderId="8" xfId="0" applyNumberFormat="1" applyFont="1" applyBorder="1"/>
    <xf numFmtId="2" fontId="2" fillId="0" borderId="9" xfId="0" applyNumberFormat="1" applyFont="1" applyBorder="1"/>
    <xf numFmtId="3" fontId="2" fillId="9" borderId="14" xfId="0" applyNumberFormat="1" applyFont="1" applyFill="1" applyBorder="1"/>
    <xf numFmtId="3" fontId="2" fillId="2" borderId="14" xfId="0" applyNumberFormat="1" applyFont="1" applyFill="1" applyBorder="1"/>
    <xf numFmtId="3" fontId="2" fillId="0" borderId="15" xfId="0" applyNumberFormat="1" applyFont="1" applyFill="1" applyBorder="1"/>
    <xf numFmtId="2" fontId="2" fillId="2" borderId="12" xfId="0" applyNumberFormat="1" applyFont="1" applyFill="1" applyBorder="1" applyAlignment="1">
      <alignment horizontal="right"/>
    </xf>
    <xf numFmtId="1" fontId="2" fillId="2" borderId="0" xfId="0" applyNumberFormat="1" applyFont="1" applyFill="1" applyBorder="1" applyAlignment="1">
      <alignment horizontal="center" vertical="center"/>
    </xf>
    <xf numFmtId="3" fontId="2" fillId="0" borderId="16" xfId="0" applyNumberFormat="1" applyFont="1" applyBorder="1"/>
    <xf numFmtId="2" fontId="2" fillId="10" borderId="12" xfId="0" applyNumberFormat="1" applyFont="1" applyFill="1" applyBorder="1" applyAlignment="1">
      <alignment horizontal="right"/>
    </xf>
    <xf numFmtId="1" fontId="2" fillId="10" borderId="0" xfId="0" applyNumberFormat="1" applyFont="1" applyFill="1" applyBorder="1" applyAlignment="1">
      <alignment horizontal="center" vertical="center"/>
    </xf>
    <xf numFmtId="2" fontId="2" fillId="9" borderId="12" xfId="0" applyNumberFormat="1" applyFont="1" applyFill="1" applyBorder="1" applyAlignment="1">
      <alignment horizontal="right"/>
    </xf>
    <xf numFmtId="1" fontId="2" fillId="9" borderId="0" xfId="0" applyNumberFormat="1" applyFont="1" applyFill="1" applyBorder="1" applyAlignment="1">
      <alignment horizontal="center" vertical="center"/>
    </xf>
    <xf numFmtId="0" fontId="2" fillId="0" borderId="12" xfId="0" applyFont="1" applyFill="1" applyBorder="1"/>
    <xf numFmtId="1" fontId="2" fillId="11" borderId="0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3" fontId="2" fillId="10" borderId="0" xfId="0" applyNumberFormat="1" applyFont="1" applyFill="1" applyBorder="1"/>
    <xf numFmtId="3" fontId="2" fillId="13" borderId="10" xfId="0" applyNumberFormat="1" applyFont="1" applyFill="1" applyBorder="1"/>
    <xf numFmtId="0" fontId="2" fillId="0" borderId="12" xfId="0" applyFont="1" applyBorder="1"/>
    <xf numFmtId="0" fontId="2" fillId="0" borderId="10" xfId="0" applyFont="1" applyBorder="1"/>
    <xf numFmtId="3" fontId="2" fillId="0" borderId="10" xfId="0" applyNumberFormat="1" applyFont="1" applyBorder="1"/>
    <xf numFmtId="167" fontId="2" fillId="0" borderId="0" xfId="1" applyNumberFormat="1" applyFont="1"/>
    <xf numFmtId="44" fontId="2" fillId="0" borderId="0" xfId="2" applyFont="1"/>
    <xf numFmtId="168" fontId="2" fillId="0" borderId="0" xfId="2" applyNumberFormat="1" applyFont="1"/>
    <xf numFmtId="44" fontId="2" fillId="0" borderId="0" xfId="0" applyNumberFormat="1" applyFont="1"/>
    <xf numFmtId="164" fontId="2" fillId="0" borderId="0" xfId="1" applyNumberFormat="1" applyFont="1" applyFill="1" applyBorder="1" applyAlignment="1">
      <alignment horizontal="right"/>
    </xf>
    <xf numFmtId="0" fontId="2" fillId="14" borderId="2" xfId="0" applyFont="1" applyFill="1" applyBorder="1"/>
    <xf numFmtId="3" fontId="2" fillId="14" borderId="3" xfId="0" applyNumberFormat="1" applyFont="1" applyFill="1" applyBorder="1"/>
    <xf numFmtId="3" fontId="2" fillId="14" borderId="18" xfId="0" applyNumberFormat="1" applyFont="1" applyFill="1" applyBorder="1"/>
    <xf numFmtId="167" fontId="2" fillId="14" borderId="19" xfId="1" applyNumberFormat="1" applyFont="1" applyFill="1" applyBorder="1" applyAlignment="1">
      <alignment horizontal="right"/>
    </xf>
    <xf numFmtId="0" fontId="2" fillId="0" borderId="7" xfId="0" applyNumberFormat="1" applyFont="1" applyFill="1" applyBorder="1" applyAlignment="1" applyProtection="1">
      <protection locked="0"/>
    </xf>
    <xf numFmtId="3" fontId="2" fillId="14" borderId="20" xfId="0" applyNumberFormat="1" applyFont="1" applyFill="1" applyBorder="1" applyAlignment="1">
      <alignment horizontal="right"/>
    </xf>
    <xf numFmtId="3" fontId="2" fillId="14" borderId="20" xfId="0" applyNumberFormat="1" applyFont="1" applyFill="1" applyBorder="1"/>
    <xf numFmtId="2" fontId="2" fillId="14" borderId="19" xfId="0" applyNumberFormat="1" applyFont="1" applyFill="1" applyBorder="1" applyProtection="1">
      <protection locked="0"/>
    </xf>
    <xf numFmtId="3" fontId="2" fillId="9" borderId="5" xfId="0" applyNumberFormat="1" applyFont="1" applyFill="1" applyBorder="1" applyAlignment="1">
      <alignment horizontal="right"/>
    </xf>
    <xf numFmtId="0" fontId="2" fillId="14" borderId="2" xfId="0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right"/>
    </xf>
    <xf numFmtId="169" fontId="2" fillId="2" borderId="7" xfId="0" applyNumberFormat="1" applyFont="1" applyFill="1" applyBorder="1"/>
    <xf numFmtId="2" fontId="2" fillId="8" borderId="0" xfId="0" applyNumberFormat="1" applyFont="1" applyFill="1" applyBorder="1" applyAlignment="1">
      <alignment horizontal="right"/>
    </xf>
    <xf numFmtId="169" fontId="2" fillId="12" borderId="7" xfId="0" applyNumberFormat="1" applyFont="1" applyFill="1" applyBorder="1"/>
    <xf numFmtId="169" fontId="2" fillId="11" borderId="0" xfId="0" applyNumberFormat="1" applyFont="1" applyFill="1" applyBorder="1"/>
    <xf numFmtId="0" fontId="2" fillId="2" borderId="21" xfId="0" applyFont="1" applyFill="1" applyBorder="1" applyAlignment="1">
      <alignment horizontal="center"/>
    </xf>
    <xf numFmtId="3" fontId="2" fillId="10" borderId="21" xfId="0" applyNumberFormat="1" applyFont="1" applyFill="1" applyBorder="1"/>
    <xf numFmtId="3" fontId="2" fillId="9" borderId="21" xfId="0" applyNumberFormat="1" applyFont="1" applyFill="1" applyBorder="1"/>
    <xf numFmtId="0" fontId="2" fillId="2" borderId="2" xfId="0" applyFont="1" applyFill="1" applyBorder="1"/>
    <xf numFmtId="0" fontId="2" fillId="2" borderId="11" xfId="0" applyFont="1" applyFill="1" applyBorder="1"/>
    <xf numFmtId="0" fontId="2" fillId="2" borderId="3" xfId="0" applyFont="1" applyFill="1" applyBorder="1"/>
    <xf numFmtId="3" fontId="2" fillId="11" borderId="22" xfId="0" applyNumberFormat="1" applyFont="1" applyFill="1" applyBorder="1"/>
    <xf numFmtId="3" fontId="2" fillId="11" borderId="4" xfId="0" applyNumberFormat="1" applyFont="1" applyFill="1" applyBorder="1" applyAlignment="1">
      <alignment horizontal="center" vertical="center"/>
    </xf>
    <xf numFmtId="3" fontId="2" fillId="11" borderId="4" xfId="0" applyNumberFormat="1" applyFont="1" applyFill="1" applyBorder="1"/>
    <xf numFmtId="0" fontId="2" fillId="0" borderId="0" xfId="0" applyFont="1" applyAlignment="1">
      <alignment horizontal="left"/>
    </xf>
    <xf numFmtId="0" fontId="2" fillId="15" borderId="21" xfId="0" applyFont="1" applyFill="1" applyBorder="1"/>
    <xf numFmtId="0" fontId="2" fillId="15" borderId="18" xfId="0" applyFont="1" applyFill="1" applyBorder="1"/>
    <xf numFmtId="0" fontId="2" fillId="15" borderId="20" xfId="0" applyFont="1" applyFill="1" applyBorder="1"/>
    <xf numFmtId="0" fontId="2" fillId="15" borderId="21" xfId="0" applyFont="1" applyFill="1" applyBorder="1" applyAlignment="1">
      <alignment horizontal="right"/>
    </xf>
    <xf numFmtId="0" fontId="2" fillId="13" borderId="21" xfId="0" applyFont="1" applyFill="1" applyBorder="1"/>
    <xf numFmtId="0" fontId="2" fillId="11" borderId="18" xfId="0" applyFont="1" applyFill="1" applyBorder="1"/>
    <xf numFmtId="0" fontId="2" fillId="11" borderId="20" xfId="0" applyFont="1" applyFill="1" applyBorder="1"/>
    <xf numFmtId="0" fontId="2" fillId="11" borderId="21" xfId="0" applyFont="1" applyFill="1" applyBorder="1" applyAlignment="1">
      <alignment horizontal="right"/>
    </xf>
    <xf numFmtId="0" fontId="2" fillId="11" borderId="21" xfId="0" applyFont="1" applyFill="1" applyBorder="1"/>
    <xf numFmtId="0" fontId="2" fillId="13" borderId="18" xfId="0" applyFont="1" applyFill="1" applyBorder="1"/>
    <xf numFmtId="0" fontId="2" fillId="13" borderId="20" xfId="0" applyFont="1" applyFill="1" applyBorder="1"/>
    <xf numFmtId="0" fontId="2" fillId="13" borderId="21" xfId="0" applyFont="1" applyFill="1" applyBorder="1" applyAlignment="1">
      <alignment horizontal="right"/>
    </xf>
    <xf numFmtId="3" fontId="2" fillId="11" borderId="0" xfId="0" applyNumberFormat="1" applyFont="1" applyFill="1" applyAlignment="1">
      <alignment horizontal="center"/>
    </xf>
    <xf numFmtId="3" fontId="2" fillId="11" borderId="0" xfId="0" applyNumberFormat="1" applyFont="1" applyFill="1" applyAlignment="1">
      <alignment horizontal="right"/>
    </xf>
    <xf numFmtId="3" fontId="2" fillId="9" borderId="0" xfId="0" applyNumberFormat="1" applyFont="1" applyFill="1" applyAlignment="1">
      <alignment horizontal="center"/>
    </xf>
    <xf numFmtId="3" fontId="2" fillId="9" borderId="0" xfId="0" applyNumberFormat="1" applyFont="1" applyFill="1" applyAlignment="1">
      <alignment horizontal="right"/>
    </xf>
    <xf numFmtId="0" fontId="2" fillId="11" borderId="0" xfId="0" applyFont="1" applyFill="1" applyBorder="1" applyAlignment="1">
      <alignment horizontal="left"/>
    </xf>
    <xf numFmtId="2" fontId="2" fillId="2" borderId="1" xfId="0" applyNumberFormat="1" applyFont="1" applyFill="1" applyBorder="1" applyAlignment="1" applyProtection="1">
      <protection locked="0"/>
    </xf>
    <xf numFmtId="0" fontId="2" fillId="0" borderId="21" xfId="0" applyFont="1" applyFill="1" applyBorder="1" applyAlignment="1">
      <alignment horizontal="center"/>
    </xf>
    <xf numFmtId="4" fontId="2" fillId="11" borderId="5" xfId="0" applyNumberFormat="1" applyFont="1" applyFill="1" applyBorder="1"/>
    <xf numFmtId="1" fontId="2" fillId="15" borderId="21" xfId="0" applyNumberFormat="1" applyFont="1" applyFill="1" applyBorder="1"/>
    <xf numFmtId="1" fontId="2" fillId="11" borderId="21" xfId="0" applyNumberFormat="1" applyFont="1" applyFill="1" applyBorder="1"/>
    <xf numFmtId="4" fontId="2" fillId="2" borderId="23" xfId="0" applyNumberFormat="1" applyFont="1" applyFill="1" applyBorder="1"/>
    <xf numFmtId="4" fontId="2" fillId="2" borderId="24" xfId="0" applyNumberFormat="1" applyFont="1" applyFill="1" applyBorder="1"/>
    <xf numFmtId="169" fontId="2" fillId="2" borderId="25" xfId="0" applyNumberFormat="1" applyFont="1" applyFill="1" applyBorder="1"/>
    <xf numFmtId="4" fontId="2" fillId="12" borderId="23" xfId="0" applyNumberFormat="1" applyFont="1" applyFill="1" applyBorder="1"/>
    <xf numFmtId="4" fontId="2" fillId="12" borderId="24" xfId="0" applyNumberFormat="1" applyFont="1" applyFill="1" applyBorder="1"/>
    <xf numFmtId="169" fontId="2" fillId="12" borderId="25" xfId="0" applyNumberFormat="1" applyFont="1" applyFill="1" applyBorder="1"/>
    <xf numFmtId="3" fontId="2" fillId="15" borderId="10" xfId="0" applyNumberFormat="1" applyFont="1" applyFill="1" applyBorder="1"/>
    <xf numFmtId="3" fontId="2" fillId="15" borderId="11" xfId="0" applyNumberFormat="1" applyFont="1" applyFill="1" applyBorder="1"/>
    <xf numFmtId="3" fontId="2" fillId="2" borderId="26" xfId="0" applyNumberFormat="1" applyFont="1" applyFill="1" applyBorder="1" applyAlignment="1">
      <alignment horizontal="center"/>
    </xf>
    <xf numFmtId="3" fontId="2" fillId="10" borderId="27" xfId="0" applyNumberFormat="1" applyFont="1" applyFill="1" applyBorder="1" applyAlignment="1">
      <alignment horizontal="center"/>
    </xf>
    <xf numFmtId="3" fontId="2" fillId="9" borderId="27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2" fillId="10" borderId="16" xfId="0" applyNumberFormat="1" applyFont="1" applyFill="1" applyBorder="1" applyAlignment="1">
      <alignment horizontal="center"/>
    </xf>
    <xf numFmtId="3" fontId="2" fillId="9" borderId="16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2" fontId="2" fillId="0" borderId="17" xfId="0" applyNumberFormat="1" applyFont="1" applyBorder="1" applyAlignment="1">
      <alignment horizontal="right"/>
    </xf>
    <xf numFmtId="2" fontId="2" fillId="0" borderId="33" xfId="0" applyNumberFormat="1" applyFont="1" applyBorder="1" applyAlignment="1">
      <alignment horizontal="right"/>
    </xf>
    <xf numFmtId="3" fontId="2" fillId="0" borderId="34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0" borderId="21" xfId="0" applyNumberFormat="1" applyFont="1" applyBorder="1" applyAlignment="1">
      <alignment horizontal="center" vertic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3"/>
  <sheetViews>
    <sheetView workbookViewId="0">
      <pane ySplit="1" topLeftCell="A11" activePane="bottomLeft" state="frozen"/>
      <selection pane="bottomLeft" activeCell="T32" sqref="T32"/>
    </sheetView>
  </sheetViews>
  <sheetFormatPr defaultRowHeight="15.75"/>
  <cols>
    <col min="1" max="1" width="8" style="2" customWidth="1"/>
    <col min="2" max="2" width="4.5703125" style="1" customWidth="1"/>
    <col min="3" max="3" width="7.5703125" style="67" bestFit="1" customWidth="1"/>
    <col min="4" max="4" width="8" style="67" bestFit="1" customWidth="1"/>
    <col min="5" max="5" width="7.7109375" style="67" bestFit="1" customWidth="1"/>
    <col min="6" max="6" width="8" style="67" bestFit="1" customWidth="1"/>
    <col min="7" max="7" width="7.7109375" style="67" bestFit="1" customWidth="1"/>
    <col min="8" max="14" width="8.140625" style="67" bestFit="1" customWidth="1"/>
    <col min="15" max="15" width="9.5703125" style="13" bestFit="1" customWidth="1"/>
    <col min="16" max="16" width="6.42578125" style="13" bestFit="1" customWidth="1"/>
    <col min="17" max="18" width="9.140625" style="13" bestFit="1" customWidth="1"/>
    <col min="19" max="19" width="11.28515625" style="1" bestFit="1" customWidth="1"/>
    <col min="20" max="16384" width="9.140625" style="1"/>
  </cols>
  <sheetData>
    <row r="1" spans="1:21" ht="16.5" thickBot="1">
      <c r="A1" s="99"/>
      <c r="B1" s="100"/>
      <c r="C1" s="198" t="s">
        <v>47</v>
      </c>
      <c r="D1" s="198" t="s">
        <v>48</v>
      </c>
      <c r="E1" s="198" t="s">
        <v>49</v>
      </c>
      <c r="F1" s="198" t="s">
        <v>50</v>
      </c>
      <c r="G1" s="198" t="s">
        <v>51</v>
      </c>
      <c r="H1" s="198" t="s">
        <v>52</v>
      </c>
      <c r="I1" s="198" t="s">
        <v>53</v>
      </c>
      <c r="J1" s="171" t="s">
        <v>80</v>
      </c>
      <c r="K1" s="171" t="s">
        <v>81</v>
      </c>
      <c r="L1" s="171" t="s">
        <v>82</v>
      </c>
      <c r="M1" s="171" t="s">
        <v>83</v>
      </c>
      <c r="N1" s="171" t="s">
        <v>84</v>
      </c>
      <c r="O1" s="149">
        <f>SUM(O2:O41)</f>
        <v>277824.22667999996</v>
      </c>
      <c r="P1" s="101">
        <f>SUM(P2:P41)</f>
        <v>9307.1115937800005</v>
      </c>
      <c r="Q1" s="102">
        <f>SUM(Q2:Q41)</f>
        <v>127038.95764028776</v>
      </c>
      <c r="R1" s="103">
        <f>SUM(R2:R41)</f>
        <v>140495.38448505595</v>
      </c>
      <c r="T1" s="4"/>
      <c r="U1" s="4"/>
    </row>
    <row r="2" spans="1:21">
      <c r="A2" s="104" t="s">
        <v>41</v>
      </c>
      <c r="B2" s="105" t="s">
        <v>54</v>
      </c>
      <c r="C2" s="196">
        <f>('Yd3'!C2*'Mix Design'!$F$12)</f>
        <v>1451.4023021582732</v>
      </c>
      <c r="D2" s="197">
        <f>('Yd3'!D2*'Mix Design'!$F$12)</f>
        <v>1472.7260431654677</v>
      </c>
      <c r="E2" s="197">
        <f>('Yd3'!E2*'Mix Design'!$F$12)</f>
        <v>0</v>
      </c>
      <c r="F2" s="197">
        <f>('Yd3'!F2*'Mix Design'!$F$12)</f>
        <v>0</v>
      </c>
      <c r="G2" s="197">
        <f>('Yd3'!G2*'Mix Design'!$F$12)</f>
        <v>0</v>
      </c>
      <c r="H2" s="197">
        <f>('Yd3'!H2*'Mix Design'!$F$12)</f>
        <v>1822.1825035971219</v>
      </c>
      <c r="I2" s="197">
        <f>('Yd3'!I2*'Mix Design'!$F$12)</f>
        <v>1399.9761726618704</v>
      </c>
      <c r="J2" s="197">
        <f>('Yd3'!J2*'Mix Design'!$F$12)</f>
        <v>1353.0205467625899</v>
      </c>
      <c r="K2" s="68">
        <f>('Yd3'!K2*'Mix Design'!$F$12)</f>
        <v>1199.0197410071942</v>
      </c>
      <c r="L2" s="68">
        <f>('Yd3'!L2*'Mix Design'!$F$12)</f>
        <v>1468.960345323741</v>
      </c>
      <c r="M2" s="68">
        <f>('Yd3'!M2*'Mix Design'!$F$12)</f>
        <v>1405.0489784172662</v>
      </c>
      <c r="N2" s="187">
        <f>('Yd3'!N2*'Mix Design'!$F$12)</f>
        <v>1318.1154532374098</v>
      </c>
      <c r="O2" s="150"/>
      <c r="P2" s="73"/>
      <c r="Q2" s="75">
        <f>SUM(C2:N2)</f>
        <v>12890.452086330934</v>
      </c>
      <c r="R2" s="106"/>
    </row>
    <row r="3" spans="1:21">
      <c r="A3" s="107" t="s">
        <v>43</v>
      </c>
      <c r="B3" s="108" t="s">
        <v>54</v>
      </c>
      <c r="C3" s="184">
        <f>('Yd3'!C2*'Mix Design'!$C$3)</f>
        <v>3026.1737999999996</v>
      </c>
      <c r="D3" s="69">
        <f>('Yd3'!D2*'Mix Design'!$C$3)</f>
        <v>3070.6338000000001</v>
      </c>
      <c r="E3" s="69">
        <f>('Yd3'!E2*'Mix Design'!$C$3)</f>
        <v>0</v>
      </c>
      <c r="F3" s="69">
        <f>('Yd3'!F2*'Mix Design'!$C$3)</f>
        <v>0</v>
      </c>
      <c r="G3" s="69">
        <f>('Yd3'!G2*'Mix Design'!$C$3)</f>
        <v>0</v>
      </c>
      <c r="H3" s="69">
        <f>('Yd3'!H2*'Mix Design'!$C$3)</f>
        <v>3799.2505199999996</v>
      </c>
      <c r="I3" s="69">
        <f>('Yd3'!I2*'Mix Design'!$C$3)</f>
        <v>2918.9503199999995</v>
      </c>
      <c r="J3" s="69">
        <f>('Yd3'!J2*'Mix Design'!$C$3)</f>
        <v>2821.0478399999997</v>
      </c>
      <c r="K3" s="69">
        <f>('Yd3'!K2*'Mix Design'!$C$3)</f>
        <v>2499.9561599999997</v>
      </c>
      <c r="L3" s="69">
        <f>('Yd3'!L2*'Mix Design'!$C$3)</f>
        <v>3062.7823200000003</v>
      </c>
      <c r="M3" s="69">
        <f>('Yd3'!M2*'Mix Design'!$C$3)</f>
        <v>2929.5271199999997</v>
      </c>
      <c r="N3" s="188">
        <f>('Yd3'!N2*'Mix Design'!$C$3)</f>
        <v>2748.2707199999995</v>
      </c>
      <c r="O3" s="150">
        <f>SUM(C3:N3)</f>
        <v>26876.592599999996</v>
      </c>
      <c r="P3" s="73"/>
      <c r="Q3" s="75"/>
      <c r="R3" s="106"/>
    </row>
    <row r="4" spans="1:21">
      <c r="A4" s="109" t="s">
        <v>44</v>
      </c>
      <c r="B4" s="110" t="s">
        <v>54</v>
      </c>
      <c r="C4" s="185">
        <f>('Yd3'!C2*'Mix Design'!$D$3)</f>
        <v>101.3768223</v>
      </c>
      <c r="D4" s="70">
        <f>('Yd3'!D2*'Mix Design'!$D$3)</f>
        <v>102.86623230000002</v>
      </c>
      <c r="E4" s="70">
        <f>('Yd3'!E2*'Mix Design'!$D$3)</f>
        <v>0</v>
      </c>
      <c r="F4" s="70">
        <f>('Yd3'!F2*'Mix Design'!$D$3)</f>
        <v>0</v>
      </c>
      <c r="G4" s="70">
        <f>('Yd3'!G2*'Mix Design'!$D$3)</f>
        <v>0</v>
      </c>
      <c r="H4" s="70">
        <f>('Yd3'!H2*'Mix Design'!$D$3)</f>
        <v>127.27489242</v>
      </c>
      <c r="I4" s="70">
        <f>('Yd3'!I2*'Mix Design'!$D$3)</f>
        <v>97.784835720000004</v>
      </c>
      <c r="J4" s="70">
        <f>('Yd3'!J2*'Mix Design'!$D$3)</f>
        <v>94.505102640000004</v>
      </c>
      <c r="K4" s="70">
        <f>('Yd3'!K2*'Mix Design'!$D$3)</f>
        <v>83.748531360000015</v>
      </c>
      <c r="L4" s="70">
        <f>('Yd3'!L2*'Mix Design'!$D$3)</f>
        <v>102.60320772000003</v>
      </c>
      <c r="M4" s="70">
        <f>('Yd3'!M2*'Mix Design'!$D$3)</f>
        <v>98.139158520000009</v>
      </c>
      <c r="N4" s="189">
        <f>('Yd3'!N2*'Mix Design'!$D$3)</f>
        <v>92.067069119999999</v>
      </c>
      <c r="O4" s="151"/>
      <c r="P4" s="74">
        <f>SUM(C4:N4)</f>
        <v>900.3658521000001</v>
      </c>
      <c r="Q4" s="75"/>
      <c r="R4" s="106"/>
    </row>
    <row r="5" spans="1:21">
      <c r="A5" s="111"/>
      <c r="B5" s="114" t="s">
        <v>42</v>
      </c>
      <c r="C5" s="186">
        <f>('Yd3'!C2*'Mix Design'!$D$6)</f>
        <v>1599.4395484280826</v>
      </c>
      <c r="D5" s="71">
        <f>('Yd3'!D2*'Mix Design'!$D$6)</f>
        <v>1622.9382259736728</v>
      </c>
      <c r="E5" s="71">
        <f>('Yd3'!E2*'Mix Design'!$D$6)</f>
        <v>0</v>
      </c>
      <c r="F5" s="71">
        <f>('Yd3'!F2*'Mix Design'!$D$6)</f>
        <v>0</v>
      </c>
      <c r="G5" s="71">
        <f>('Yd3'!G2*'Mix Design'!$D$6)</f>
        <v>0</v>
      </c>
      <c r="H5" s="71">
        <f>('Yd3'!H2*'Mix Design'!$D$6)</f>
        <v>2008.0378516508069</v>
      </c>
      <c r="I5" s="71">
        <f>('Yd3'!I2*'Mix Design'!$D$6)</f>
        <v>1542.7681588231342</v>
      </c>
      <c r="J5" s="71">
        <f>('Yd3'!J2*'Mix Design'!$D$6)</f>
        <v>1491.0232463527436</v>
      </c>
      <c r="K5" s="71">
        <f>('Yd3'!K2*'Mix Design'!$D$6)</f>
        <v>1321.3149726034917</v>
      </c>
      <c r="L5" s="71">
        <f>('Yd3'!L2*'Mix Design'!$D$6)</f>
        <v>1618.788441970622</v>
      </c>
      <c r="M5" s="71">
        <f>('Yd3'!M2*'Mix Design'!$D$6)</f>
        <v>1548.35837053398</v>
      </c>
      <c r="N5" s="190">
        <f>('Yd3'!N2*'Mix Design'!$D$6)</f>
        <v>1452.5579724981169</v>
      </c>
      <c r="O5" s="150"/>
      <c r="P5" s="73"/>
      <c r="Q5" s="75"/>
      <c r="R5" s="106">
        <f>SUM(C5:N5)</f>
        <v>14205.226788834652</v>
      </c>
    </row>
    <row r="6" spans="1:21">
      <c r="A6" s="104" t="s">
        <v>41</v>
      </c>
      <c r="B6" s="105" t="s">
        <v>55</v>
      </c>
      <c r="C6" s="183">
        <f>('Yd3'!C7*'Mix Design'!$F$12)</f>
        <v>1464.8227913669066</v>
      </c>
      <c r="D6" s="68">
        <f>('Yd3'!D7*'Mix Design'!$F$12)</f>
        <v>936.71677697841722</v>
      </c>
      <c r="E6" s="68">
        <f>('Yd3'!E7*'Mix Design'!$F$12)</f>
        <v>0</v>
      </c>
      <c r="F6" s="68">
        <f>('Yd3'!F7*'Mix Design'!$F$12)</f>
        <v>0</v>
      </c>
      <c r="G6" s="68">
        <f>('Yd3'!G7*'Mix Design'!$F$12)</f>
        <v>751.38204316546762</v>
      </c>
      <c r="H6" s="68">
        <f>('Yd3'!H7*'Mix Design'!$F$12)</f>
        <v>1077.4100719424459</v>
      </c>
      <c r="I6" s="68">
        <f>('Yd3'!I7*'Mix Design'!$F$12)</f>
        <v>1077.4100719424459</v>
      </c>
      <c r="J6" s="68">
        <f>('Yd3'!J7*'Mix Design'!$F$12)</f>
        <v>1077.4100719424459</v>
      </c>
      <c r="K6" s="68">
        <f>('Yd3'!K7*'Mix Design'!$F$12)</f>
        <v>987.62589928057548</v>
      </c>
      <c r="L6" s="68">
        <f>('Yd3'!L7*'Mix Design'!$F$12)</f>
        <v>1256.9784172661869</v>
      </c>
      <c r="M6" s="68">
        <f>('Yd3'!M7*'Mix Design'!$F$12)</f>
        <v>1256.9784172661869</v>
      </c>
      <c r="N6" s="187">
        <f>('Yd3'!N7*'Mix Design'!$F$12)</f>
        <v>1319.1270215827337</v>
      </c>
      <c r="O6" s="150"/>
      <c r="P6" s="73"/>
      <c r="Q6" s="75">
        <f>SUM(C6:N6)</f>
        <v>11205.861582733813</v>
      </c>
      <c r="R6" s="106"/>
    </row>
    <row r="7" spans="1:21">
      <c r="A7" s="107" t="s">
        <v>43</v>
      </c>
      <c r="B7" s="112" t="s">
        <v>55</v>
      </c>
      <c r="C7" s="184">
        <f>('Yd3'!C7*'Mix Design'!$C$3)</f>
        <v>3054.1555200000003</v>
      </c>
      <c r="D7" s="69">
        <f>('Yd3'!D7*'Mix Design'!$C$3)</f>
        <v>1953.0544799999998</v>
      </c>
      <c r="E7" s="69">
        <f>('Yd3'!E7*'Mix Design'!$C$3)</f>
        <v>0</v>
      </c>
      <c r="F7" s="69">
        <f>('Yd3'!F7*'Mix Design'!$C$3)</f>
        <v>0</v>
      </c>
      <c r="G7" s="69">
        <f>('Yd3'!G7*'Mix Design'!$C$3)</f>
        <v>1566.63156</v>
      </c>
      <c r="H7" s="69">
        <f>('Yd3'!H7*'Mix Design'!$C$3)</f>
        <v>2246.3999999999996</v>
      </c>
      <c r="I7" s="69">
        <f>('Yd3'!I7*'Mix Design'!$C$3)</f>
        <v>2246.3999999999996</v>
      </c>
      <c r="J7" s="69">
        <f>('Yd3'!J7*'Mix Design'!$C$3)</f>
        <v>2246.3999999999996</v>
      </c>
      <c r="K7" s="69">
        <f>('Yd3'!K7*'Mix Design'!$C$3)</f>
        <v>2059.1999999999998</v>
      </c>
      <c r="L7" s="69">
        <f>('Yd3'!L7*'Mix Design'!$C$3)</f>
        <v>2620.7999999999997</v>
      </c>
      <c r="M7" s="69">
        <f>('Yd3'!M7*'Mix Design'!$C$3)</f>
        <v>2620.7999999999997</v>
      </c>
      <c r="N7" s="188">
        <f>('Yd3'!N7*'Mix Design'!$C$3)</f>
        <v>2750.3798400000001</v>
      </c>
      <c r="O7" s="150">
        <f>SUM(C7:N7)</f>
        <v>23364.221399999999</v>
      </c>
      <c r="P7" s="73"/>
      <c r="Q7" s="75"/>
      <c r="R7" s="106"/>
    </row>
    <row r="8" spans="1:21">
      <c r="A8" s="109" t="s">
        <v>44</v>
      </c>
      <c r="B8" s="110" t="s">
        <v>55</v>
      </c>
      <c r="C8" s="185">
        <f>('Yd3'!C7*'Mix Design'!$D$3)</f>
        <v>102.31420992000002</v>
      </c>
      <c r="D8" s="70">
        <f>('Yd3'!D7*'Mix Design'!$D$3)</f>
        <v>65.427325080000003</v>
      </c>
      <c r="E8" s="70">
        <f>('Yd3'!E7*'Mix Design'!$D$3)</f>
        <v>0</v>
      </c>
      <c r="F8" s="70">
        <f>('Yd3'!F7*'Mix Design'!$D$3)</f>
        <v>0</v>
      </c>
      <c r="G8" s="70">
        <f>('Yd3'!G7*'Mix Design'!$D$3)</f>
        <v>52.482157260000008</v>
      </c>
      <c r="H8" s="70">
        <f>('Yd3'!H7*'Mix Design'!$D$3)</f>
        <v>75.254400000000004</v>
      </c>
      <c r="I8" s="70">
        <f>('Yd3'!I7*'Mix Design'!$D$3)</f>
        <v>75.254400000000004</v>
      </c>
      <c r="J8" s="70">
        <f>('Yd3'!J7*'Mix Design'!$D$3)</f>
        <v>75.254400000000004</v>
      </c>
      <c r="K8" s="70">
        <f>('Yd3'!K7*'Mix Design'!$D$3)</f>
        <v>68.983200000000011</v>
      </c>
      <c r="L8" s="70">
        <f>('Yd3'!L7*'Mix Design'!$D$3)</f>
        <v>87.796800000000005</v>
      </c>
      <c r="M8" s="70">
        <f>('Yd3'!M7*'Mix Design'!$D$3)</f>
        <v>87.796800000000005</v>
      </c>
      <c r="N8" s="189">
        <f>('Yd3'!N7*'Mix Design'!$D$3)</f>
        <v>92.137724640000016</v>
      </c>
      <c r="O8" s="151"/>
      <c r="P8" s="74">
        <f>SUM(C8:N8)</f>
        <v>782.70141690000003</v>
      </c>
      <c r="Q8" s="75"/>
      <c r="R8" s="106"/>
    </row>
    <row r="9" spans="1:21">
      <c r="A9" s="113"/>
      <c r="B9" s="114" t="s">
        <v>42</v>
      </c>
      <c r="C9" s="186">
        <f>('Yd3'!C7*'Mix Design'!$D$6)</f>
        <v>1614.228874011776</v>
      </c>
      <c r="D9" s="71">
        <f>('Yd3'!D7*'Mix Design'!$D$6)</f>
        <v>1032.2581523726906</v>
      </c>
      <c r="E9" s="71">
        <f>('Yd3'!E7*'Mix Design'!$D$6)</f>
        <v>0</v>
      </c>
      <c r="F9" s="71">
        <f>('Yd3'!F7*'Mix Design'!$D$6)</f>
        <v>0</v>
      </c>
      <c r="G9" s="71">
        <f>('Yd3'!G7*'Mix Design'!$D$6)</f>
        <v>828.02001487144696</v>
      </c>
      <c r="H9" s="71">
        <f>('Yd3'!H7*'Mix Design'!$D$6)</f>
        <v>1187.3016023034913</v>
      </c>
      <c r="I9" s="71">
        <f>('Yd3'!I7*'Mix Design'!$D$6)</f>
        <v>1187.3016023034913</v>
      </c>
      <c r="J9" s="71">
        <f>('Yd3'!J7*'Mix Design'!$D$6)</f>
        <v>1187.3016023034913</v>
      </c>
      <c r="K9" s="71">
        <f>('Yd3'!K7*'Mix Design'!$D$6)</f>
        <v>1088.3598021115338</v>
      </c>
      <c r="L9" s="71">
        <f>('Yd3'!L7*'Mix Design'!$D$6)</f>
        <v>1385.1852026874067</v>
      </c>
      <c r="M9" s="71">
        <f>('Yd3'!M7*'Mix Design'!$D$6)</f>
        <v>1385.1852026874067</v>
      </c>
      <c r="N9" s="190">
        <f>('Yd3'!N7*'Mix Design'!$D$6)</f>
        <v>1453.6727167802796</v>
      </c>
      <c r="O9" s="150"/>
      <c r="P9" s="73"/>
      <c r="Q9" s="75"/>
      <c r="R9" s="106">
        <f>SUM(C9:N9)</f>
        <v>12348.814772433017</v>
      </c>
    </row>
    <row r="10" spans="1:21">
      <c r="A10" s="104" t="s">
        <v>41</v>
      </c>
      <c r="B10" s="105" t="s">
        <v>56</v>
      </c>
      <c r="C10" s="183">
        <f>('Yd3'!C12*'Mix Design'!$F$12)</f>
        <v>1179.5410647482015</v>
      </c>
      <c r="D10" s="68">
        <f>('Yd3'!D12*'Mix Design'!$F$12)</f>
        <v>1023.0539856115106</v>
      </c>
      <c r="E10" s="68">
        <f>('Yd3'!E12*'Mix Design'!$F$12)</f>
        <v>0</v>
      </c>
      <c r="F10" s="68">
        <f>('Yd3'!F12*'Mix Design'!$F$12)</f>
        <v>0</v>
      </c>
      <c r="G10" s="68">
        <f>('Yd3'!G12*'Mix Design'!$F$12)</f>
        <v>933.95067625899276</v>
      </c>
      <c r="H10" s="68">
        <f>('Yd3'!H12*'Mix Design'!$F$27)</f>
        <v>1346.7625899280577</v>
      </c>
      <c r="I10" s="68">
        <f>('Yd3'!I12*'Mix Design'!$F$27)</f>
        <v>1346.7625899280577</v>
      </c>
      <c r="J10" s="68">
        <f>('Yd3'!J12*'Mix Design'!$F$27)</f>
        <v>1346.7625899280577</v>
      </c>
      <c r="K10" s="68">
        <f>('Yd3'!K12*'Mix Design'!$F$27)</f>
        <v>1234.5323741007194</v>
      </c>
      <c r="L10" s="68">
        <f>('Yd3'!L12*'Mix Design'!$F$12)</f>
        <v>1047.4820143884892</v>
      </c>
      <c r="M10" s="68">
        <f>('Yd3'!M12*'Mix Design'!$F$12)</f>
        <v>1047.4820143884892</v>
      </c>
      <c r="N10" s="187">
        <f>('Yd3'!N12*'Mix Design'!$F$12)</f>
        <v>1162.2606043165467</v>
      </c>
      <c r="O10" s="150"/>
      <c r="P10" s="73"/>
      <c r="Q10" s="75">
        <f>SUM(C10:N10)</f>
        <v>11668.590503597123</v>
      </c>
      <c r="R10" s="106"/>
    </row>
    <row r="11" spans="1:21">
      <c r="A11" s="107" t="s">
        <v>43</v>
      </c>
      <c r="B11" s="112" t="s">
        <v>56</v>
      </c>
      <c r="C11" s="184">
        <f>('Yd3'!C12*'Mix Design'!$C$3)</f>
        <v>2459.34312</v>
      </c>
      <c r="D11" s="69">
        <f>('Yd3'!D12*'Mix Design'!$C$3)</f>
        <v>2133.0675599999995</v>
      </c>
      <c r="E11" s="69">
        <f>('Yd3'!E12*'Mix Design'!$C$3)</f>
        <v>0</v>
      </c>
      <c r="F11" s="69">
        <f>('Yd3'!F12*'Mix Design'!$C$3)</f>
        <v>0</v>
      </c>
      <c r="G11" s="69">
        <f>('Yd3'!G12*'Mix Design'!$C$3)</f>
        <v>1947.2871599999999</v>
      </c>
      <c r="H11" s="69">
        <f>('Yd3'!H12*'Mix Design'!$C$18)</f>
        <v>3744</v>
      </c>
      <c r="I11" s="69">
        <f>('Yd3'!I12*'Mix Design'!$C$18)</f>
        <v>3744</v>
      </c>
      <c r="J11" s="69">
        <f>('Yd3'!J12*'Mix Design'!$C$18)</f>
        <v>3744</v>
      </c>
      <c r="K11" s="69">
        <f>('Yd3'!K12*'Mix Design'!$C$18)</f>
        <v>3432</v>
      </c>
      <c r="L11" s="69">
        <f>('Yd3'!L12*'Mix Design'!$C$3)</f>
        <v>2184</v>
      </c>
      <c r="M11" s="69">
        <f>('Yd3'!M12*'Mix Design'!$C$3)</f>
        <v>2184</v>
      </c>
      <c r="N11" s="188">
        <f>('Yd3'!N12*'Mix Design'!$C$3)</f>
        <v>2423.3133600000001</v>
      </c>
      <c r="O11" s="150">
        <f>SUM(C11:N11)</f>
        <v>27995.011200000001</v>
      </c>
      <c r="P11" s="73"/>
      <c r="Q11" s="75"/>
      <c r="R11" s="106"/>
    </row>
    <row r="12" spans="1:21">
      <c r="A12" s="109" t="s">
        <v>44</v>
      </c>
      <c r="B12" s="110" t="s">
        <v>56</v>
      </c>
      <c r="C12" s="185">
        <f>('Yd3'!C12*'Mix Design'!$D$3)</f>
        <v>82.387994520000021</v>
      </c>
      <c r="D12" s="70">
        <f>('Yd3'!D12*'Mix Design'!$D$3)</f>
        <v>71.457763259999993</v>
      </c>
      <c r="E12" s="70">
        <f>('Yd3'!E12*'Mix Design'!$D$3)</f>
        <v>0</v>
      </c>
      <c r="F12" s="70">
        <f>('Yd3'!F12*'Mix Design'!$D$3)</f>
        <v>0</v>
      </c>
      <c r="G12" s="70">
        <f>('Yd3'!G12*'Mix Design'!$D$3)</f>
        <v>65.234119860000007</v>
      </c>
      <c r="H12" s="70">
        <f>('Yd3'!H12*'Mix Design'!$D$18)</f>
        <v>125.42400000000002</v>
      </c>
      <c r="I12" s="70">
        <f>('Yd3'!I12*'Mix Design'!$D$18)</f>
        <v>125.42400000000002</v>
      </c>
      <c r="J12" s="70">
        <f>('Yd3'!J12*'Mix Design'!$D$18)</f>
        <v>125.42400000000002</v>
      </c>
      <c r="K12" s="70">
        <f>('Yd3'!K12*'Mix Design'!$D$18)</f>
        <v>114.97200000000001</v>
      </c>
      <c r="L12" s="70">
        <f>('Yd3'!L12*'Mix Design'!$D$3)</f>
        <v>73.164000000000001</v>
      </c>
      <c r="M12" s="70">
        <f>('Yd3'!M12*'Mix Design'!$D$3)</f>
        <v>73.164000000000001</v>
      </c>
      <c r="N12" s="189">
        <f>('Yd3'!N12*'Mix Design'!$D$3)</f>
        <v>81.180997560000009</v>
      </c>
      <c r="O12" s="151"/>
      <c r="P12" s="74">
        <f>SUM(C12:N12)</f>
        <v>937.8328752000001</v>
      </c>
      <c r="Q12" s="75"/>
      <c r="R12" s="106"/>
    </row>
    <row r="13" spans="1:21">
      <c r="A13" s="113"/>
      <c r="B13" s="114" t="s">
        <v>42</v>
      </c>
      <c r="C13" s="186">
        <f>('Yd3'!C12*'Mix Design'!$D$6)</f>
        <v>1299.8495490518465</v>
      </c>
      <c r="D13" s="71">
        <f>('Yd3'!D12*'Mix Design'!$D$6)</f>
        <v>1127.4014119522785</v>
      </c>
      <c r="E13" s="71">
        <f>('Yd3'!E12*'Mix Design'!$D$6)</f>
        <v>0</v>
      </c>
      <c r="F13" s="71">
        <f>('Yd3'!F12*'Mix Design'!$D$6)</f>
        <v>0</v>
      </c>
      <c r="G13" s="71">
        <f>('Yd3'!G12*'Mix Design'!$D$6)</f>
        <v>1029.2099204117767</v>
      </c>
      <c r="H13" s="71">
        <f>('Yd3'!H12*'Mix Design'!$D$21)</f>
        <v>1520.1963880470496</v>
      </c>
      <c r="I13" s="71">
        <f>('Yd3'!I12*'Mix Design'!$D$21)</f>
        <v>1520.1963880470496</v>
      </c>
      <c r="J13" s="71">
        <f>('Yd3'!J12*'Mix Design'!$D$21)</f>
        <v>1520.1963880470496</v>
      </c>
      <c r="K13" s="71">
        <f>('Yd3'!K12*'Mix Design'!$D$21)</f>
        <v>1393.5133557097954</v>
      </c>
      <c r="L13" s="71">
        <f>('Yd3'!L12*'Mix Design'!$D$6)</f>
        <v>1154.3210022395056</v>
      </c>
      <c r="M13" s="71">
        <f>('Yd3'!M12*'Mix Design'!$D$6)</f>
        <v>1154.3210022395056</v>
      </c>
      <c r="N13" s="190">
        <f>('Yd3'!N12*'Mix Design'!$D$6)</f>
        <v>1280.8065505749009</v>
      </c>
      <c r="O13" s="150"/>
      <c r="P13" s="73"/>
      <c r="Q13" s="75"/>
      <c r="R13" s="106">
        <f>SUM(C13:N13)</f>
        <v>13000.011956320755</v>
      </c>
    </row>
    <row r="14" spans="1:21">
      <c r="A14" s="104" t="s">
        <v>41</v>
      </c>
      <c r="B14" s="105" t="s">
        <v>57</v>
      </c>
      <c r="C14" s="183">
        <f>('Yd3'!C17*'Mix Design'!$F$12)</f>
        <v>1142.1369784172662</v>
      </c>
      <c r="D14" s="68">
        <f>('Yd3'!D17*'Mix Design'!$F$12)</f>
        <v>1243.4688920863307</v>
      </c>
      <c r="E14" s="68">
        <f>('Yd3'!E17*'Mix Design'!$F$12)</f>
        <v>0</v>
      </c>
      <c r="F14" s="68">
        <f>('Yd3'!F17*'Mix Design'!$F$12)</f>
        <v>0</v>
      </c>
      <c r="G14" s="68">
        <f>('Yd3'!G17*'Mix Design'!$F$12)</f>
        <v>1213.7675395683452</v>
      </c>
      <c r="H14" s="68">
        <f>('Yd3'!H17*'Mix Design'!$F$27)</f>
        <v>1346.7625899280577</v>
      </c>
      <c r="I14" s="68">
        <f>('Yd3'!I17*'Mix Design'!$F$27)</f>
        <v>1346.7625899280577</v>
      </c>
      <c r="J14" s="68">
        <f>('Yd3'!J17*'Mix Design'!$F$27)</f>
        <v>1346.7625899280577</v>
      </c>
      <c r="K14" s="68">
        <f>('Yd3'!K17*'Mix Design'!$F$27)</f>
        <v>1234.5323741007194</v>
      </c>
      <c r="L14" s="68">
        <f>('Yd3'!L17*'Mix Design'!$F$12)</f>
        <v>1047.4820143884892</v>
      </c>
      <c r="M14" s="68">
        <f>('Yd3'!M17*'Mix Design'!$F$12)</f>
        <v>1047.4820143884892</v>
      </c>
      <c r="N14" s="187">
        <f>('Yd3'!N17*'Mix Design'!$F$12)</f>
        <v>1218.7064172661871</v>
      </c>
      <c r="O14" s="150"/>
      <c r="P14" s="73"/>
      <c r="Q14" s="75">
        <f>SUM(C14:N14)</f>
        <v>12187.864</v>
      </c>
      <c r="R14" s="106"/>
    </row>
    <row r="15" spans="1:21">
      <c r="A15" s="107" t="s">
        <v>43</v>
      </c>
      <c r="B15" s="112" t="s">
        <v>57</v>
      </c>
      <c r="C15" s="184">
        <f>('Yd3'!C17*'Mix Design'!$C$3)</f>
        <v>2381.3555999999999</v>
      </c>
      <c r="D15" s="69">
        <f>('Yd3'!D17*'Mix Design'!$C$3)</f>
        <v>2592.6326399999998</v>
      </c>
      <c r="E15" s="69">
        <f>('Yd3'!E17*'Mix Design'!$C$3)</f>
        <v>0</v>
      </c>
      <c r="F15" s="69">
        <f>('Yd3'!F17*'Mix Design'!$C$3)</f>
        <v>0</v>
      </c>
      <c r="G15" s="69">
        <f>('Yd3'!G17*'Mix Design'!$C$3)</f>
        <v>2530.70532</v>
      </c>
      <c r="H15" s="69">
        <f>('Yd3'!H17*'Mix Design'!$C$18)</f>
        <v>3744</v>
      </c>
      <c r="I15" s="69">
        <f>('Yd3'!I17*'Mix Design'!$C$18)</f>
        <v>3744</v>
      </c>
      <c r="J15" s="69">
        <f>('Yd3'!J17*'Mix Design'!$C$18)</f>
        <v>3744</v>
      </c>
      <c r="K15" s="69">
        <f>('Yd3'!K17*'Mix Design'!$C$18)</f>
        <v>3432</v>
      </c>
      <c r="L15" s="69">
        <f>('Yd3'!L17*'Mix Design'!$C$3)</f>
        <v>2184</v>
      </c>
      <c r="M15" s="69">
        <f>('Yd3'!M17*'Mix Design'!$C$3)</f>
        <v>2184</v>
      </c>
      <c r="N15" s="188">
        <f>('Yd3'!N17*'Mix Design'!$C$3)</f>
        <v>2541.00288</v>
      </c>
      <c r="O15" s="150">
        <f>SUM(C15:N15)</f>
        <v>29077.69644</v>
      </c>
      <c r="P15" s="73"/>
      <c r="Q15" s="75"/>
      <c r="R15" s="106"/>
    </row>
    <row r="16" spans="1:21">
      <c r="A16" s="109" t="s">
        <v>44</v>
      </c>
      <c r="B16" s="110" t="s">
        <v>57</v>
      </c>
      <c r="C16" s="185">
        <f>('Yd3'!C17*'Mix Design'!$D$3)</f>
        <v>79.77541260000001</v>
      </c>
      <c r="D16" s="70">
        <f>('Yd3'!D17*'Mix Design'!$D$3)</f>
        <v>86.853193439999998</v>
      </c>
      <c r="E16" s="70">
        <f>('Yd3'!E17*'Mix Design'!$D$3)</f>
        <v>0</v>
      </c>
      <c r="F16" s="70">
        <f>('Yd3'!F17*'Mix Design'!$D$3)</f>
        <v>0</v>
      </c>
      <c r="G16" s="70">
        <f>('Yd3'!G17*'Mix Design'!$D$3)</f>
        <v>84.778628220000016</v>
      </c>
      <c r="H16" s="70">
        <f>('Yd3'!H17*'Mix Design'!$D$18)</f>
        <v>125.42400000000002</v>
      </c>
      <c r="I16" s="70">
        <f>('Yd3'!I17*'Mix Design'!$D$18)</f>
        <v>125.42400000000002</v>
      </c>
      <c r="J16" s="70">
        <f>('Yd3'!J17*'Mix Design'!$D$18)</f>
        <v>125.42400000000002</v>
      </c>
      <c r="K16" s="70">
        <f>('Yd3'!K17*'Mix Design'!$D$18)</f>
        <v>114.97200000000001</v>
      </c>
      <c r="L16" s="70">
        <f>('Yd3'!L17*'Mix Design'!$D$3)</f>
        <v>73.164000000000001</v>
      </c>
      <c r="M16" s="70">
        <f>('Yd3'!M17*'Mix Design'!$D$3)</f>
        <v>73.164000000000001</v>
      </c>
      <c r="N16" s="189">
        <f>('Yd3'!N17*'Mix Design'!$D$3)</f>
        <v>85.123596480000018</v>
      </c>
      <c r="O16" s="151"/>
      <c r="P16" s="74">
        <f>SUM(C16:N16)</f>
        <v>974.10283074000017</v>
      </c>
      <c r="Q16" s="75"/>
      <c r="R16" s="106"/>
    </row>
    <row r="17" spans="1:18">
      <c r="A17" s="113"/>
      <c r="B17" s="114" t="s">
        <v>42</v>
      </c>
      <c r="C17" s="186">
        <f>('Yd3'!C17*'Mix Design'!$D$6)</f>
        <v>1258.6303950918768</v>
      </c>
      <c r="D17" s="71">
        <f>('Yd3'!D17*'Mix Design'!$D$6)</f>
        <v>1370.2977598185232</v>
      </c>
      <c r="E17" s="71">
        <f>('Yd3'!E17*'Mix Design'!$D$6)</f>
        <v>0</v>
      </c>
      <c r="F17" s="71">
        <f>('Yd3'!F17*'Mix Design'!$D$6)</f>
        <v>0</v>
      </c>
      <c r="G17" s="71">
        <f>('Yd3'!G17*'Mix Design'!$D$6)</f>
        <v>1337.5669878000224</v>
      </c>
      <c r="H17" s="71">
        <f>('Yd3'!H17*'Mix Design'!$D$21)</f>
        <v>1520.1963880470496</v>
      </c>
      <c r="I17" s="71">
        <f>('Yd3'!I17*'Mix Design'!$D$21)</f>
        <v>1520.1963880470496</v>
      </c>
      <c r="J17" s="71">
        <f>('Yd3'!J17*'Mix Design'!$D$21)</f>
        <v>1520.1963880470496</v>
      </c>
      <c r="K17" s="71">
        <f>('Yd3'!K17*'Mix Design'!$D$21)</f>
        <v>1393.5133557097954</v>
      </c>
      <c r="L17" s="71">
        <f>('Yd3'!L17*'Mix Design'!$D$6)</f>
        <v>1154.3210022395056</v>
      </c>
      <c r="M17" s="71">
        <f>('Yd3'!M17*'Mix Design'!$D$6)</f>
        <v>1154.3210022395056</v>
      </c>
      <c r="N17" s="190">
        <f>('Yd3'!N17*'Mix Design'!$D$6)</f>
        <v>1343.0096113255815</v>
      </c>
      <c r="O17" s="150"/>
      <c r="P17" s="73"/>
      <c r="Q17" s="75"/>
      <c r="R17" s="106">
        <f>SUM(C17:N17)</f>
        <v>13572.24927836596</v>
      </c>
    </row>
    <row r="18" spans="1:18">
      <c r="A18" s="104" t="s">
        <v>41</v>
      </c>
      <c r="B18" s="42" t="s">
        <v>58</v>
      </c>
      <c r="C18" s="183">
        <f>('Yd3'!C22*'Mix Design'!$F$12)</f>
        <v>1215.2123165467624</v>
      </c>
      <c r="D18" s="68">
        <f>('Yd3'!D22*'Mix Design'!$F$12)</f>
        <v>1009.2773525179857</v>
      </c>
      <c r="E18" s="68">
        <f>('Yd3'!E22*'Mix Design'!$F$12)</f>
        <v>0</v>
      </c>
      <c r="F18" s="68">
        <f>('Yd3'!F22*'Mix Design'!$F$12)</f>
        <v>1009.2773525179857</v>
      </c>
      <c r="G18" s="68">
        <f>('Yd3'!G22*'Mix Design'!$F$12)</f>
        <v>823.02158273381292</v>
      </c>
      <c r="H18" s="68">
        <f>('Yd3'!H22*'Mix Design'!$F$27)</f>
        <v>1346.7625899280577</v>
      </c>
      <c r="I18" s="68">
        <f>('Yd3'!I22*'Mix Design'!$F$27)</f>
        <v>1346.7625899280577</v>
      </c>
      <c r="J18" s="68">
        <f>('Yd3'!J22*'Mix Design'!$F$27)</f>
        <v>1346.7625899280577</v>
      </c>
      <c r="K18" s="68">
        <f>('Yd3'!K22*'Mix Design'!$F$12)</f>
        <v>823.02158273381292</v>
      </c>
      <c r="L18" s="68">
        <f>('Yd3'!L22*'Mix Design'!$F$12)</f>
        <v>1047.4820143884892</v>
      </c>
      <c r="M18" s="68">
        <f>('Yd3'!M22*'Mix Design'!$F$12)</f>
        <v>1047.4820143884892</v>
      </c>
      <c r="N18" s="187">
        <f>('Yd3'!N22*'Mix Design'!$F$12)</f>
        <v>1200.8543309352517</v>
      </c>
      <c r="O18" s="150"/>
      <c r="P18" s="73"/>
      <c r="Q18" s="75">
        <f>SUM(C18:N18)</f>
        <v>12215.916316546763</v>
      </c>
      <c r="R18" s="106"/>
    </row>
    <row r="19" spans="1:18">
      <c r="A19" s="107" t="s">
        <v>43</v>
      </c>
      <c r="B19" s="43" t="s">
        <v>58</v>
      </c>
      <c r="C19" s="184">
        <f>('Yd3'!C22*'Mix Design'!$C$3)</f>
        <v>2533.7176799999997</v>
      </c>
      <c r="D19" s="69">
        <f>('Yd3'!D22*'Mix Design'!$C$3)</f>
        <v>2104.34328</v>
      </c>
      <c r="E19" s="69">
        <f>('Yd3'!E22*'Mix Design'!$C$3)</f>
        <v>0</v>
      </c>
      <c r="F19" s="69">
        <f>('Yd3'!F22*'Mix Design'!$C$3)</f>
        <v>2104.34328</v>
      </c>
      <c r="G19" s="69">
        <f>('Yd3'!G22*'Mix Design'!$C$3)</f>
        <v>1716</v>
      </c>
      <c r="H19" s="69">
        <f>('Yd3'!H22*'Mix Design'!$C$18)</f>
        <v>3744</v>
      </c>
      <c r="I19" s="69">
        <f>('Yd3'!I22*'Mix Design'!$C$18)</f>
        <v>3744</v>
      </c>
      <c r="J19" s="69">
        <f>('Yd3'!J22*'Mix Design'!$C$18)</f>
        <v>3744</v>
      </c>
      <c r="K19" s="69">
        <f>('Yd3'!K22*'Mix Design'!$C$3)</f>
        <v>1716</v>
      </c>
      <c r="L19" s="69">
        <f>('Yd3'!L22*'Mix Design'!$C$3)</f>
        <v>2184</v>
      </c>
      <c r="M19" s="69">
        <f>('Yd3'!M22*'Mix Design'!$C$3)</f>
        <v>2184</v>
      </c>
      <c r="N19" s="188">
        <f>('Yd3'!N22*'Mix Design'!$C$3)</f>
        <v>2503.7812799999997</v>
      </c>
      <c r="O19" s="150">
        <f>SUM(C19:N19)</f>
        <v>28278.185519999999</v>
      </c>
      <c r="P19" s="73"/>
      <c r="Q19" s="75"/>
      <c r="R19" s="106"/>
    </row>
    <row r="20" spans="1:18">
      <c r="A20" s="109" t="s">
        <v>44</v>
      </c>
      <c r="B20" s="44" t="s">
        <v>58</v>
      </c>
      <c r="C20" s="185">
        <f>('Yd3'!C22*'Mix Design'!$D$3)</f>
        <v>84.879542279999995</v>
      </c>
      <c r="D20" s="70">
        <f>('Yd3'!D22*'Mix Design'!$D$3)</f>
        <v>70.495499880000011</v>
      </c>
      <c r="E20" s="70">
        <f>('Yd3'!E22*'Mix Design'!$D$3)</f>
        <v>0</v>
      </c>
      <c r="F20" s="70">
        <f>('Yd3'!F22*'Mix Design'!$D$3)</f>
        <v>70.495499880000011</v>
      </c>
      <c r="G20" s="70">
        <f>('Yd3'!G22*'Mix Design'!$D$3)</f>
        <v>57.486000000000004</v>
      </c>
      <c r="H20" s="70">
        <f>('Yd3'!H22*'Mix Design'!$D$18)</f>
        <v>125.42400000000002</v>
      </c>
      <c r="I20" s="70">
        <f>('Yd3'!I22*'Mix Design'!$D$18)</f>
        <v>125.42400000000002</v>
      </c>
      <c r="J20" s="70">
        <f>('Yd3'!J22*'Mix Design'!$D$18)</f>
        <v>125.42400000000002</v>
      </c>
      <c r="K20" s="70">
        <f>('Yd3'!K22*'Mix Design'!$D$3)</f>
        <v>57.486000000000004</v>
      </c>
      <c r="L20" s="70">
        <f>('Yd3'!L22*'Mix Design'!$D$3)</f>
        <v>73.164000000000001</v>
      </c>
      <c r="M20" s="70">
        <f>('Yd3'!M22*'Mix Design'!$D$3)</f>
        <v>73.164000000000001</v>
      </c>
      <c r="N20" s="189">
        <f>('Yd3'!N22*'Mix Design'!$D$3)</f>
        <v>83.876672880000001</v>
      </c>
      <c r="O20" s="151"/>
      <c r="P20" s="74">
        <f>SUM(C20:N20)</f>
        <v>947.31921492000004</v>
      </c>
      <c r="Q20" s="75"/>
      <c r="R20" s="106"/>
    </row>
    <row r="21" spans="1:18">
      <c r="A21" s="115"/>
      <c r="B21" s="114" t="s">
        <v>42</v>
      </c>
      <c r="C21" s="186">
        <f>('Yd3'!C22*'Mix Design'!$D$6)</f>
        <v>1339.1591262681111</v>
      </c>
      <c r="D21" s="71">
        <f>('Yd3'!D22*'Mix Design'!$D$6)</f>
        <v>1112.2196172278245</v>
      </c>
      <c r="E21" s="71">
        <f>('Yd3'!E22*'Mix Design'!$D$6)</f>
        <v>0</v>
      </c>
      <c r="F21" s="71">
        <f>('Yd3'!F22*'Mix Design'!$D$6)</f>
        <v>1112.2196172278245</v>
      </c>
      <c r="G21" s="71">
        <f>('Yd3'!G22*'Mix Design'!$D$6)</f>
        <v>906.96650175961145</v>
      </c>
      <c r="H21" s="71">
        <f>('Yd3'!H22*'Mix Design'!$D$21)</f>
        <v>1520.1963880470496</v>
      </c>
      <c r="I21" s="71">
        <f>('Yd3'!I22*'Mix Design'!$D$21)</f>
        <v>1520.1963880470496</v>
      </c>
      <c r="J21" s="71">
        <f>('Yd3'!J22*'Mix Design'!$D$21)</f>
        <v>1520.1963880470496</v>
      </c>
      <c r="K21" s="71">
        <f>('Yd3'!K22*'Mix Design'!$D$6)</f>
        <v>906.96650175961145</v>
      </c>
      <c r="L21" s="71">
        <f>('Yd3'!L22*'Mix Design'!$D$6)</f>
        <v>1154.3210022395056</v>
      </c>
      <c r="M21" s="71">
        <f>('Yd3'!M22*'Mix Design'!$D$6)</f>
        <v>1154.3210022395056</v>
      </c>
      <c r="N21" s="190">
        <f>('Yd3'!N22*'Mix Design'!$D$6)</f>
        <v>1323.3366833874138</v>
      </c>
      <c r="O21" s="150"/>
      <c r="P21" s="73"/>
      <c r="Q21" s="75"/>
      <c r="R21" s="106">
        <f>SUM(C21:N21)</f>
        <v>13570.099216250555</v>
      </c>
    </row>
    <row r="22" spans="1:18">
      <c r="A22" s="104" t="s">
        <v>41</v>
      </c>
      <c r="B22" s="42" t="s">
        <v>59</v>
      </c>
      <c r="C22" s="183">
        <f>('Yd3'!C27*'Mix Design'!$F$12)</f>
        <v>1271.9424460431653</v>
      </c>
      <c r="D22" s="68">
        <f>('Yd3'!D27*'Mix Design'!$F$12)</f>
        <v>1143.500201438849</v>
      </c>
      <c r="E22" s="68">
        <f>('Yd3'!E27*'Mix Design'!$F$12)</f>
        <v>0</v>
      </c>
      <c r="F22" s="68">
        <f>('Yd3'!F27*'Mix Design'!$F$12)</f>
        <v>1143.500201438849</v>
      </c>
      <c r="G22" s="68">
        <f>('Yd3'!G27*'Mix Design'!$F$12)</f>
        <v>823.02158273381292</v>
      </c>
      <c r="H22" s="68">
        <f>('Yd3'!H27*'Mix Design'!$F$27)</f>
        <v>1346.7625899280577</v>
      </c>
      <c r="I22" s="68">
        <f>('Yd3'!I27*'Mix Design'!$F$27)</f>
        <v>1346.7625899280577</v>
      </c>
      <c r="J22" s="68">
        <f>('Yd3'!J27*'Mix Design'!$F$27)</f>
        <v>1346.7625899280577</v>
      </c>
      <c r="K22" s="68">
        <f>('Yd3'!K27*'Mix Design'!$F$12)</f>
        <v>823.02158273381292</v>
      </c>
      <c r="L22" s="68">
        <f>('Yd3'!L27*'Mix Design'!$F$12)</f>
        <v>1047.4820143884892</v>
      </c>
      <c r="M22" s="68">
        <f>('Yd3'!M27*'Mix Design'!$F$12)</f>
        <v>1047.4820143884892</v>
      </c>
      <c r="N22" s="187">
        <f>('Yd3'!N27*'Mix Design'!$F$12)</f>
        <v>1134.6527194244604</v>
      </c>
      <c r="O22" s="150"/>
      <c r="P22" s="73"/>
      <c r="Q22" s="75">
        <f>SUM(C22:N22)</f>
        <v>12474.890532374102</v>
      </c>
      <c r="R22" s="106"/>
    </row>
    <row r="23" spans="1:18">
      <c r="A23" s="107" t="s">
        <v>43</v>
      </c>
      <c r="B23" s="43" t="s">
        <v>59</v>
      </c>
      <c r="C23" s="184">
        <f>('Yd3'!C27*'Mix Design'!$C$3)</f>
        <v>2651.9999999999995</v>
      </c>
      <c r="D23" s="69">
        <f>('Yd3'!D27*'Mix Design'!$C$3)</f>
        <v>2384.1979200000001</v>
      </c>
      <c r="E23" s="69">
        <f>('Yd3'!E27*'Mix Design'!$C$3)</f>
        <v>0</v>
      </c>
      <c r="F23" s="69">
        <f>('Yd3'!F27*'Mix Design'!$C$3)</f>
        <v>2384.1979200000001</v>
      </c>
      <c r="G23" s="69">
        <f>('Yd3'!G27*'Mix Design'!$C$3)</f>
        <v>1716</v>
      </c>
      <c r="H23" s="69">
        <f>('Yd3'!H27*'Mix Design'!$C$18)</f>
        <v>3744</v>
      </c>
      <c r="I23" s="69">
        <f>('Yd3'!I27*'Mix Design'!$C$18)</f>
        <v>3744</v>
      </c>
      <c r="J23" s="69">
        <f>('Yd3'!J27*'Mix Design'!$C$18)</f>
        <v>3744</v>
      </c>
      <c r="K23" s="69">
        <f>('Yd3'!K27*'Mix Design'!$C$3)</f>
        <v>1716</v>
      </c>
      <c r="L23" s="69">
        <f>('Yd3'!L27*'Mix Design'!$C$3)</f>
        <v>2184</v>
      </c>
      <c r="M23" s="69">
        <f>('Yd3'!M27*'Mix Design'!$C$3)</f>
        <v>2184</v>
      </c>
      <c r="N23" s="188">
        <f>('Yd3'!N27*'Mix Design'!$C$3)</f>
        <v>2365.75092</v>
      </c>
      <c r="O23" s="150">
        <f>SUM(C23:N23)</f>
        <v>28818.146759999996</v>
      </c>
      <c r="P23" s="73"/>
      <c r="Q23" s="75"/>
      <c r="R23" s="106"/>
    </row>
    <row r="24" spans="1:18">
      <c r="A24" s="109" t="s">
        <v>44</v>
      </c>
      <c r="B24" s="44" t="s">
        <v>59</v>
      </c>
      <c r="C24" s="185">
        <f>('Yd3'!C27*'Mix Design'!$D$3)</f>
        <v>88.842000000000013</v>
      </c>
      <c r="D24" s="70">
        <f>('Yd3'!D27*'Mix Design'!$D$3)</f>
        <v>79.870630320000018</v>
      </c>
      <c r="E24" s="70">
        <f>('Yd3'!E27*'Mix Design'!$D$3)</f>
        <v>0</v>
      </c>
      <c r="F24" s="70">
        <f>('Yd3'!F27*'Mix Design'!$D$3)</f>
        <v>79.870630320000018</v>
      </c>
      <c r="G24" s="70">
        <f>('Yd3'!G27*'Mix Design'!$D$3)</f>
        <v>57.486000000000004</v>
      </c>
      <c r="H24" s="70">
        <f>('Yd3'!H27*'Mix Design'!$D$18)</f>
        <v>125.42400000000002</v>
      </c>
      <c r="I24" s="70">
        <f>('Yd3'!I27*'Mix Design'!$D$18)</f>
        <v>125.42400000000002</v>
      </c>
      <c r="J24" s="70">
        <f>('Yd3'!J27*'Mix Design'!$D$18)</f>
        <v>125.42400000000002</v>
      </c>
      <c r="K24" s="70">
        <f>('Yd3'!K27*'Mix Design'!$D$3)</f>
        <v>57.486000000000004</v>
      </c>
      <c r="L24" s="70">
        <f>('Yd3'!L27*'Mix Design'!$D$3)</f>
        <v>73.164000000000001</v>
      </c>
      <c r="M24" s="70">
        <f>('Yd3'!M27*'Mix Design'!$D$3)</f>
        <v>73.164000000000001</v>
      </c>
      <c r="N24" s="189">
        <f>('Yd3'!N27*'Mix Design'!$D$3)</f>
        <v>79.252655820000015</v>
      </c>
      <c r="O24" s="151"/>
      <c r="P24" s="74">
        <f>SUM(C24:N24)</f>
        <v>965.40791646000002</v>
      </c>
      <c r="Q24" s="75"/>
      <c r="R24" s="106"/>
    </row>
    <row r="25" spans="1:18">
      <c r="A25" s="115"/>
      <c r="B25" s="45" t="s">
        <v>42</v>
      </c>
      <c r="C25" s="186">
        <f>('Yd3'!C27*'Mix Design'!$D$6)</f>
        <v>1401.6755027193994</v>
      </c>
      <c r="D25" s="71">
        <f>('Yd3'!D27*'Mix Design'!$D$6)</f>
        <v>1260.1326614247914</v>
      </c>
      <c r="E25" s="71">
        <f>('Yd3'!E27*'Mix Design'!$D$6)</f>
        <v>0</v>
      </c>
      <c r="F25" s="71">
        <f>('Yd3'!F27*'Mix Design'!$D$6)</f>
        <v>1260.1326614247914</v>
      </c>
      <c r="G25" s="71">
        <f>('Yd3'!G27*'Mix Design'!$D$6)</f>
        <v>906.96650175961145</v>
      </c>
      <c r="H25" s="71">
        <f>('Yd3'!H27*'Mix Design'!$D$21)</f>
        <v>1520.1963880470496</v>
      </c>
      <c r="I25" s="71">
        <f>('Yd3'!I27*'Mix Design'!$D$21)</f>
        <v>1520.1963880470496</v>
      </c>
      <c r="J25" s="71">
        <f>('Yd3'!J27*'Mix Design'!$D$21)</f>
        <v>1520.1963880470496</v>
      </c>
      <c r="K25" s="71">
        <f>('Yd3'!K27*'Mix Design'!$D$6)</f>
        <v>906.96650175961145</v>
      </c>
      <c r="L25" s="71">
        <f>('Yd3'!L27*'Mix Design'!$D$6)</f>
        <v>1154.3210022395056</v>
      </c>
      <c r="M25" s="71">
        <f>('Yd3'!M27*'Mix Design'!$D$6)</f>
        <v>1154.3210022395056</v>
      </c>
      <c r="N25" s="190">
        <f>('Yd3'!N27*'Mix Design'!$D$6)</f>
        <v>1250.3827715308757</v>
      </c>
      <c r="O25" s="150"/>
      <c r="P25" s="73"/>
      <c r="Q25" s="75"/>
      <c r="R25" s="106">
        <f>SUM(C25:N25)</f>
        <v>13855.48776923924</v>
      </c>
    </row>
    <row r="26" spans="1:18">
      <c r="A26" s="104" t="s">
        <v>41</v>
      </c>
      <c r="B26" s="42" t="s">
        <v>60</v>
      </c>
      <c r="C26" s="183">
        <f>('Yd3'!C32*'Mix Design'!$F$12)</f>
        <v>1399.1366906474821</v>
      </c>
      <c r="D26" s="68">
        <f>('Yd3'!D32*'Mix Design'!$F$12)</f>
        <v>875.96431654676246</v>
      </c>
      <c r="E26" s="68">
        <f>('Yd3'!E32*'Mix Design'!$F$12)</f>
        <v>729.57271942446027</v>
      </c>
      <c r="F26" s="68">
        <f>('Yd3'!F32*'Mix Design'!$F$12)</f>
        <v>1141.5698417266185</v>
      </c>
      <c r="G26" s="68">
        <f>('Yd3'!G32*'Mix Design'!$F$12)</f>
        <v>984.04725179856121</v>
      </c>
      <c r="H26" s="68">
        <f>('Yd3'!H32*'Mix Design'!$F$12)</f>
        <v>987.62589928057548</v>
      </c>
      <c r="I26" s="68">
        <f>('Yd3'!I32*'Mix Design'!$F$12)</f>
        <v>987.62589928057548</v>
      </c>
      <c r="J26" s="68">
        <f>('Yd3'!J32*'Mix Design'!$F$12)</f>
        <v>987.62589928057548</v>
      </c>
      <c r="K26" s="68">
        <f>('Yd3'!K32*'Mix Design'!$F$12)</f>
        <v>905.32374100719426</v>
      </c>
      <c r="L26" s="68">
        <f>('Yd3'!L32*'Mix Design'!$F$12)</f>
        <v>1152.230215827338</v>
      </c>
      <c r="M26" s="68">
        <f>('Yd3'!M32*'Mix Design'!$F$12)</f>
        <v>1152.230215827338</v>
      </c>
      <c r="N26" s="187">
        <f>('Yd3'!N32*'Mix Design'!$F$12)</f>
        <v>1171.655021582734</v>
      </c>
      <c r="O26" s="150"/>
      <c r="P26" s="73"/>
      <c r="Q26" s="75">
        <f>SUM(C26:N26)</f>
        <v>12474.607712230212</v>
      </c>
      <c r="R26" s="106"/>
    </row>
    <row r="27" spans="1:18">
      <c r="A27" s="107" t="s">
        <v>43</v>
      </c>
      <c r="B27" s="43" t="s">
        <v>60</v>
      </c>
      <c r="C27" s="184">
        <f>('Yd3'!C32*'Mix Design'!$C$3)</f>
        <v>2917.2</v>
      </c>
      <c r="D27" s="69">
        <f>('Yd3'!D32*'Mix Design'!$C$3)</f>
        <v>1826.3855999999996</v>
      </c>
      <c r="E27" s="69">
        <f>('Yd3'!E32*'Mix Design'!$C$3)</f>
        <v>1521.1591199999998</v>
      </c>
      <c r="F27" s="69">
        <f>('Yd3'!F32*'Mix Design'!$C$3)</f>
        <v>2380.1731199999995</v>
      </c>
      <c r="G27" s="69">
        <f>('Yd3'!G32*'Mix Design'!$C$3)</f>
        <v>2051.7385199999999</v>
      </c>
      <c r="H27" s="69">
        <f>('Yd3'!H32*'Mix Design'!$C$3)</f>
        <v>2059.1999999999998</v>
      </c>
      <c r="I27" s="69">
        <f>('Yd3'!I32*'Mix Design'!$C$3)</f>
        <v>2059.1999999999998</v>
      </c>
      <c r="J27" s="69">
        <f>('Yd3'!J32*'Mix Design'!$C$3)</f>
        <v>2059.1999999999998</v>
      </c>
      <c r="K27" s="69">
        <f>('Yd3'!K32*'Mix Design'!$C$3)</f>
        <v>1887.6</v>
      </c>
      <c r="L27" s="69">
        <f>('Yd3'!L32*'Mix Design'!$C$3)</f>
        <v>2402.4</v>
      </c>
      <c r="M27" s="69">
        <f>('Yd3'!M32*'Mix Design'!$C$3)</f>
        <v>2402.4</v>
      </c>
      <c r="N27" s="188">
        <f>('Yd3'!N32*'Mix Design'!$C$3)</f>
        <v>2442.9007200000001</v>
      </c>
      <c r="O27" s="150">
        <f>SUM(C27:N27)</f>
        <v>26009.557080000002</v>
      </c>
      <c r="P27" s="73"/>
      <c r="Q27" s="75"/>
      <c r="R27" s="106"/>
    </row>
    <row r="28" spans="1:18">
      <c r="A28" s="109" t="s">
        <v>44</v>
      </c>
      <c r="B28" s="44" t="s">
        <v>60</v>
      </c>
      <c r="C28" s="185">
        <f>('Yd3'!C32*'Mix Design'!$D$3)</f>
        <v>97.72620000000002</v>
      </c>
      <c r="D28" s="70">
        <f>('Yd3'!D32*'Mix Design'!$D$3)</f>
        <v>61.183917600000001</v>
      </c>
      <c r="E28" s="70">
        <f>('Yd3'!E32*'Mix Design'!$D$3)</f>
        <v>50.958830519999999</v>
      </c>
      <c r="F28" s="70">
        <f>('Yd3'!F32*'Mix Design'!$D$3)</f>
        <v>79.73579952</v>
      </c>
      <c r="G28" s="70">
        <f>('Yd3'!G32*'Mix Design'!$D$3)</f>
        <v>68.733240420000016</v>
      </c>
      <c r="H28" s="70">
        <f>('Yd3'!H32*'Mix Design'!$D$3)</f>
        <v>68.983200000000011</v>
      </c>
      <c r="I28" s="70">
        <f>('Yd3'!I32*'Mix Design'!$D$3)</f>
        <v>68.983200000000011</v>
      </c>
      <c r="J28" s="70">
        <f>('Yd3'!J32*'Mix Design'!$D$3)</f>
        <v>68.983200000000011</v>
      </c>
      <c r="K28" s="70">
        <f>('Yd3'!K32*'Mix Design'!$D$3)</f>
        <v>63.234600000000007</v>
      </c>
      <c r="L28" s="70">
        <f>('Yd3'!L32*'Mix Design'!$D$3)</f>
        <v>80.480400000000017</v>
      </c>
      <c r="M28" s="70">
        <f>('Yd3'!M32*'Mix Design'!$D$3)</f>
        <v>80.480400000000017</v>
      </c>
      <c r="N28" s="189">
        <f>('Yd3'!N32*'Mix Design'!$D$3)</f>
        <v>81.837174120000014</v>
      </c>
      <c r="O28" s="151"/>
      <c r="P28" s="74">
        <f>SUM(C28:N28)</f>
        <v>871.32016218000012</v>
      </c>
      <c r="Q28" s="75"/>
      <c r="R28" s="106"/>
    </row>
    <row r="29" spans="1:18">
      <c r="A29" s="115"/>
      <c r="B29" s="114" t="s">
        <v>42</v>
      </c>
      <c r="C29" s="186">
        <f>('Yd3'!C32*'Mix Design'!$D$6)</f>
        <v>1541.8430529913396</v>
      </c>
      <c r="D29" s="71">
        <f>('Yd3'!D32*'Mix Design'!$D$6)</f>
        <v>965.30918327280244</v>
      </c>
      <c r="E29" s="71">
        <f>('Yd3'!E32*'Mix Design'!$D$6)</f>
        <v>803.98622708981873</v>
      </c>
      <c r="F29" s="71">
        <f>('Yd3'!F32*'Mix Design'!$D$6)</f>
        <v>1258.0054127206643</v>
      </c>
      <c r="G29" s="71">
        <f>('Yd3'!G32*'Mix Design'!$D$6)</f>
        <v>1084.4161468588827</v>
      </c>
      <c r="H29" s="71">
        <f>('Yd3'!H32*'Mix Design'!$D$6)</f>
        <v>1088.3598021115338</v>
      </c>
      <c r="I29" s="71">
        <f>('Yd3'!I32*'Mix Design'!$D$6)</f>
        <v>1088.3598021115338</v>
      </c>
      <c r="J29" s="71">
        <f>('Yd3'!J32*'Mix Design'!$D$6)</f>
        <v>1088.3598021115338</v>
      </c>
      <c r="K29" s="71">
        <f>('Yd3'!K32*'Mix Design'!$D$6)</f>
        <v>997.66315193557261</v>
      </c>
      <c r="L29" s="71">
        <f>('Yd3'!L32*'Mix Design'!$D$6)</f>
        <v>1269.7531024634561</v>
      </c>
      <c r="M29" s="71">
        <f>('Yd3'!M32*'Mix Design'!$D$6)</f>
        <v>1269.7531024634561</v>
      </c>
      <c r="N29" s="190">
        <f>('Yd3'!N32*'Mix Design'!$D$6)</f>
        <v>1291.1591609349864</v>
      </c>
      <c r="O29" s="150"/>
      <c r="P29" s="73"/>
      <c r="Q29" s="75"/>
      <c r="R29" s="106">
        <f>SUM(C29:N29)</f>
        <v>13746.967947065579</v>
      </c>
    </row>
    <row r="30" spans="1:18">
      <c r="A30" s="104" t="s">
        <v>41</v>
      </c>
      <c r="B30" s="42" t="s">
        <v>61</v>
      </c>
      <c r="C30" s="183">
        <f>('Yd3'!C37*'Mix Design'!$F$12)</f>
        <v>1526.3309352517986</v>
      </c>
      <c r="D30" s="68">
        <f>('Yd3'!D37*'Mix Design'!$F$12)</f>
        <v>965.22025899280573</v>
      </c>
      <c r="E30" s="68">
        <f>('Yd3'!E37*'Mix Design'!$F$12)</f>
        <v>969.35556834532372</v>
      </c>
      <c r="F30" s="68">
        <f>('Yd3'!F37*'Mix Design'!$F$12)</f>
        <v>1253.0750503597119</v>
      </c>
      <c r="G30" s="68">
        <f>('Yd3'!G37*'Mix Design'!$F$12)</f>
        <v>1253.0750503597119</v>
      </c>
      <c r="H30" s="68">
        <f>('Yd3'!H37*'Mix Design'!$F$12)</f>
        <v>1077.4100719424459</v>
      </c>
      <c r="I30" s="68">
        <f>('Yd3'!I37*'Mix Design'!$F$12)</f>
        <v>1077.4100719424459</v>
      </c>
      <c r="J30" s="68">
        <f>('Yd3'!J37*'Mix Design'!$F$12)</f>
        <v>1077.4100719424459</v>
      </c>
      <c r="K30" s="68">
        <f>('Yd3'!K37*'Mix Design'!$F$12)</f>
        <v>987.62589928057548</v>
      </c>
      <c r="L30" s="68">
        <f>('Yd3'!L37*'Mix Design'!$F$12)</f>
        <v>1256.9784172661869</v>
      </c>
      <c r="M30" s="68">
        <f>('Yd3'!M37*'Mix Design'!$F$12)</f>
        <v>1256.9784172661869</v>
      </c>
      <c r="N30" s="187">
        <f>('Yd3'!N37*'Mix Design'!$F$12)</f>
        <v>1186.8105899280577</v>
      </c>
      <c r="O30" s="150"/>
      <c r="P30" s="73"/>
      <c r="Q30" s="75">
        <f>SUM(C30:N30)</f>
        <v>13887.680402877699</v>
      </c>
      <c r="R30" s="106"/>
    </row>
    <row r="31" spans="1:18">
      <c r="A31" s="107" t="s">
        <v>43</v>
      </c>
      <c r="B31" s="43" t="s">
        <v>61</v>
      </c>
      <c r="C31" s="184">
        <f>('Yd3'!C37*'Mix Design'!$C$3)</f>
        <v>3182.4</v>
      </c>
      <c r="D31" s="69">
        <f>('Yd3'!D37*'Mix Design'!$C$3)</f>
        <v>2012.48424</v>
      </c>
      <c r="E31" s="69">
        <f>('Yd3'!E37*'Mix Design'!$C$3)</f>
        <v>2021.10636</v>
      </c>
      <c r="F31" s="69">
        <f>('Yd3'!F37*'Mix Design'!$C$3)</f>
        <v>2612.6614799999993</v>
      </c>
      <c r="G31" s="69">
        <f>('Yd3'!G37*'Mix Design'!$C$3)</f>
        <v>2612.6614799999993</v>
      </c>
      <c r="H31" s="69">
        <f>('Yd3'!H37*'Mix Design'!$C$3)</f>
        <v>2246.3999999999996</v>
      </c>
      <c r="I31" s="69">
        <f>('Yd3'!I37*'Mix Design'!$C$3)</f>
        <v>2246.3999999999996</v>
      </c>
      <c r="J31" s="69">
        <f>('Yd3'!J37*'Mix Design'!$C$3)</f>
        <v>2246.3999999999996</v>
      </c>
      <c r="K31" s="69">
        <f>('Yd3'!K37*'Mix Design'!$C$3)</f>
        <v>2059.1999999999998</v>
      </c>
      <c r="L31" s="69">
        <f>('Yd3'!L37*'Mix Design'!$C$3)</f>
        <v>2620.7999999999997</v>
      </c>
      <c r="M31" s="69">
        <f>('Yd3'!M37*'Mix Design'!$C$3)</f>
        <v>2620.7999999999997</v>
      </c>
      <c r="N31" s="188">
        <f>('Yd3'!N37*'Mix Design'!$C$3)</f>
        <v>2474.5000799999998</v>
      </c>
      <c r="O31" s="150">
        <f>SUM(C31:N31)</f>
        <v>28955.81364</v>
      </c>
      <c r="P31" s="73"/>
      <c r="Q31" s="75"/>
      <c r="R31" s="106"/>
    </row>
    <row r="32" spans="1:18">
      <c r="A32" s="109" t="s">
        <v>44</v>
      </c>
      <c r="B32" s="44" t="s">
        <v>61</v>
      </c>
      <c r="C32" s="185">
        <f>('Yd3'!C37*'Mix Design'!$D$3)</f>
        <v>106.61040000000003</v>
      </c>
      <c r="D32" s="70">
        <f>('Yd3'!D37*'Mix Design'!$D$3)</f>
        <v>67.418222040000018</v>
      </c>
      <c r="E32" s="70">
        <f>('Yd3'!E37*'Mix Design'!$D$3)</f>
        <v>67.70706306000001</v>
      </c>
      <c r="F32" s="70">
        <f>('Yd3'!F37*'Mix Design'!$D$3)</f>
        <v>87.524159579999989</v>
      </c>
      <c r="G32" s="70">
        <f>('Yd3'!G37*'Mix Design'!$D$3)</f>
        <v>87.524159579999989</v>
      </c>
      <c r="H32" s="70">
        <f>('Yd3'!H37*'Mix Design'!$D$3)</f>
        <v>75.254400000000004</v>
      </c>
      <c r="I32" s="70">
        <f>('Yd3'!I37*'Mix Design'!$D$3)</f>
        <v>75.254400000000004</v>
      </c>
      <c r="J32" s="70">
        <f>('Yd3'!J37*'Mix Design'!$D$3)</f>
        <v>75.254400000000004</v>
      </c>
      <c r="K32" s="70">
        <f>('Yd3'!K37*'Mix Design'!$D$3)</f>
        <v>68.983200000000011</v>
      </c>
      <c r="L32" s="70">
        <f>('Yd3'!L37*'Mix Design'!$D$3)</f>
        <v>87.796800000000005</v>
      </c>
      <c r="M32" s="70">
        <f>('Yd3'!M37*'Mix Design'!$D$3)</f>
        <v>87.796800000000005</v>
      </c>
      <c r="N32" s="189">
        <f>('Yd3'!N37*'Mix Design'!$D$3)</f>
        <v>82.895752680000015</v>
      </c>
      <c r="O32" s="151"/>
      <c r="P32" s="74">
        <f>SUM(C32:N32)</f>
        <v>970.01975694000009</v>
      </c>
      <c r="Q32" s="75"/>
      <c r="R32" s="106"/>
    </row>
    <row r="33" spans="1:18">
      <c r="A33" s="115"/>
      <c r="B33" s="114" t="s">
        <v>42</v>
      </c>
      <c r="C33" s="186">
        <f>('Yd3'!C37*'Mix Design'!$D$6)</f>
        <v>1682.0106032632796</v>
      </c>
      <c r="D33" s="71">
        <f>('Yd3'!D37*'Mix Design'!$D$6)</f>
        <v>1063.6688758736309</v>
      </c>
      <c r="E33" s="71">
        <f>('Yd3'!E37*'Mix Design'!$D$6)</f>
        <v>1068.2259702874721</v>
      </c>
      <c r="F33" s="71">
        <f>('Yd3'!F37*'Mix Design'!$D$6)</f>
        <v>1380.8837079240609</v>
      </c>
      <c r="G33" s="71">
        <f>('Yd3'!G37*'Mix Design'!$D$6)</f>
        <v>1380.8837079240609</v>
      </c>
      <c r="H33" s="71">
        <f>('Yd3'!H37*'Mix Design'!$D$6)</f>
        <v>1187.3016023034913</v>
      </c>
      <c r="I33" s="71">
        <f>('Yd3'!I37*'Mix Design'!$D$6)</f>
        <v>1187.3016023034913</v>
      </c>
      <c r="J33" s="71">
        <f>('Yd3'!J37*'Mix Design'!$D$6)</f>
        <v>1187.3016023034913</v>
      </c>
      <c r="K33" s="71">
        <f>('Yd3'!K37*'Mix Design'!$D$6)</f>
        <v>1088.3598021115338</v>
      </c>
      <c r="L33" s="71">
        <f>('Yd3'!L37*'Mix Design'!$D$6)</f>
        <v>1385.1852026874067</v>
      </c>
      <c r="M33" s="71">
        <f>('Yd3'!M37*'Mix Design'!$D$6)</f>
        <v>1385.1852026874067</v>
      </c>
      <c r="N33" s="190">
        <f>('Yd3'!N37*'Mix Design'!$D$6)</f>
        <v>1307.8605368073886</v>
      </c>
      <c r="O33" s="150"/>
      <c r="P33" s="73"/>
      <c r="Q33" s="75"/>
      <c r="R33" s="106">
        <f>SUM(C33:N33)</f>
        <v>15304.168416476714</v>
      </c>
    </row>
    <row r="34" spans="1:18">
      <c r="A34" s="104" t="s">
        <v>41</v>
      </c>
      <c r="B34" s="42" t="s">
        <v>62</v>
      </c>
      <c r="C34" s="183">
        <f>('Yd3'!C42*'Mix Design'!$F$12)</f>
        <v>1526.3309352517986</v>
      </c>
      <c r="D34" s="68">
        <f>('Yd3'!D42*'Mix Design'!$F$12)</f>
        <v>975.26112230215824</v>
      </c>
      <c r="E34" s="68">
        <f>('Yd3'!E42*'Mix Design'!$F$12)</f>
        <v>1158.5016402877698</v>
      </c>
      <c r="F34" s="68">
        <f>('Yd3'!F42*'Mix Design'!$F$12)</f>
        <v>1346.7625899280577</v>
      </c>
      <c r="G34" s="68">
        <f>('Yd3'!G42*'Mix Design'!$F$12)</f>
        <v>1346.7625899280577</v>
      </c>
      <c r="H34" s="68">
        <f>('Yd3'!H42*'Mix Design'!$F$12)</f>
        <v>1077.4100719424459</v>
      </c>
      <c r="I34" s="68">
        <f>('Yd3'!I42*'Mix Design'!$F$12)</f>
        <v>1077.4100719424459</v>
      </c>
      <c r="J34" s="68">
        <f>('Yd3'!J42*'Mix Design'!$F$12)</f>
        <v>1077.4100719424459</v>
      </c>
      <c r="K34" s="68">
        <f>('Yd3'!K42*'Mix Design'!$F$12)</f>
        <v>987.62589928057548</v>
      </c>
      <c r="L34" s="68">
        <f>('Yd3'!L42*'Mix Design'!$F$12)</f>
        <v>1256.9784172661869</v>
      </c>
      <c r="M34" s="68">
        <f>('Yd3'!M42*'Mix Design'!$F$12)</f>
        <v>1256.9784172661869</v>
      </c>
      <c r="N34" s="187">
        <f>('Yd3'!N42*'Mix Design'!$F$12)</f>
        <v>1091.48</v>
      </c>
      <c r="O34" s="150"/>
      <c r="P34" s="73"/>
      <c r="Q34" s="75">
        <f>SUM(C34:N34)</f>
        <v>14178.91182733813</v>
      </c>
      <c r="R34" s="106"/>
    </row>
    <row r="35" spans="1:18">
      <c r="A35" s="107" t="s">
        <v>43</v>
      </c>
      <c r="B35" s="43" t="s">
        <v>62</v>
      </c>
      <c r="C35" s="184">
        <f>('Yd3'!C42*'Mix Design'!$C$3)</f>
        <v>3182.4</v>
      </c>
      <c r="D35" s="69">
        <f>('Yd3'!D42*'Mix Design'!$C$3)</f>
        <v>2033.4194399999999</v>
      </c>
      <c r="E35" s="69">
        <f>('Yd3'!E42*'Mix Design'!$C$3)</f>
        <v>2415.4759199999999</v>
      </c>
      <c r="F35" s="69">
        <f>('Yd3'!F42*'Mix Design'!$C$3)</f>
        <v>2808</v>
      </c>
      <c r="G35" s="69">
        <f>('Yd3'!G42*'Mix Design'!$C$3)</f>
        <v>2808</v>
      </c>
      <c r="H35" s="69">
        <f>('Yd3'!H42*'Mix Design'!$C$3)</f>
        <v>2246.3999999999996</v>
      </c>
      <c r="I35" s="69">
        <f>('Yd3'!I42*'Mix Design'!$C$3)</f>
        <v>2246.3999999999996</v>
      </c>
      <c r="J35" s="69">
        <f>('Yd3'!J42*'Mix Design'!$C$3)</f>
        <v>2246.3999999999996</v>
      </c>
      <c r="K35" s="69">
        <f>('Yd3'!K42*'Mix Design'!$C$3)</f>
        <v>2059.1999999999998</v>
      </c>
      <c r="L35" s="69">
        <f>('Yd3'!L42*'Mix Design'!$C$3)</f>
        <v>2620.7999999999997</v>
      </c>
      <c r="M35" s="69">
        <f>('Yd3'!M42*'Mix Design'!$C$3)</f>
        <v>2620.7999999999997</v>
      </c>
      <c r="N35" s="188">
        <f>('Yd3'!N42*'Mix Design'!$C$3)</f>
        <v>2275.7358000000004</v>
      </c>
      <c r="O35" s="150">
        <f>SUM(C35:N35)</f>
        <v>29563.031159999999</v>
      </c>
      <c r="P35" s="73"/>
      <c r="Q35" s="75"/>
      <c r="R35" s="106"/>
    </row>
    <row r="36" spans="1:18">
      <c r="A36" s="109" t="s">
        <v>44</v>
      </c>
      <c r="B36" s="44" t="s">
        <v>62</v>
      </c>
      <c r="C36" s="185">
        <f>('Yd3'!C42*'Mix Design'!$D$3)</f>
        <v>106.61040000000003</v>
      </c>
      <c r="D36" s="70">
        <f>('Yd3'!D42*'Mix Design'!$D$3)</f>
        <v>68.119551240000007</v>
      </c>
      <c r="E36" s="70">
        <f>('Yd3'!E42*'Mix Design'!$D$3)</f>
        <v>80.918443320000009</v>
      </c>
      <c r="F36" s="70">
        <f>('Yd3'!F42*'Mix Design'!$D$3)</f>
        <v>94.068000000000012</v>
      </c>
      <c r="G36" s="70">
        <f>('Yd3'!G42*'Mix Design'!$D$3)</f>
        <v>94.068000000000012</v>
      </c>
      <c r="H36" s="70">
        <f>('Yd3'!H42*'Mix Design'!$D$3)</f>
        <v>75.254400000000004</v>
      </c>
      <c r="I36" s="70">
        <f>('Yd3'!I42*'Mix Design'!$D$3)</f>
        <v>75.254400000000004</v>
      </c>
      <c r="J36" s="70">
        <f>('Yd3'!J42*'Mix Design'!$D$3)</f>
        <v>75.254400000000004</v>
      </c>
      <c r="K36" s="70">
        <f>('Yd3'!K42*'Mix Design'!$D$3)</f>
        <v>68.983200000000011</v>
      </c>
      <c r="L36" s="70">
        <f>('Yd3'!L42*'Mix Design'!$D$3)</f>
        <v>87.796800000000005</v>
      </c>
      <c r="M36" s="70">
        <f>('Yd3'!M42*'Mix Design'!$D$3)</f>
        <v>87.796800000000005</v>
      </c>
      <c r="N36" s="189">
        <f>('Yd3'!N42*'Mix Design'!$D$3)</f>
        <v>76.237149300000013</v>
      </c>
      <c r="O36" s="151"/>
      <c r="P36" s="74">
        <f>SUM(C36:N36)</f>
        <v>990.3615438600001</v>
      </c>
      <c r="Q36" s="75"/>
      <c r="R36" s="106"/>
    </row>
    <row r="37" spans="1:18">
      <c r="A37" s="115"/>
      <c r="B37" s="114" t="s">
        <v>42</v>
      </c>
      <c r="C37" s="186">
        <f>('Yd3'!C42*'Mix Design'!$D$6)</f>
        <v>1682.0106032632796</v>
      </c>
      <c r="D37" s="71">
        <f>('Yd3'!D42*'Mix Design'!$D$6)</f>
        <v>1074.7338671950981</v>
      </c>
      <c r="E37" s="71">
        <f>('Yd3'!E42*'Mix Design'!$D$6)</f>
        <v>1276.6641872068642</v>
      </c>
      <c r="F37" s="71">
        <f>('Yd3'!F42*'Mix Design'!$D$6)</f>
        <v>1484.1270028793645</v>
      </c>
      <c r="G37" s="71">
        <f>('Yd3'!G42*'Mix Design'!$D$6)</f>
        <v>1484.1270028793645</v>
      </c>
      <c r="H37" s="71">
        <f>('Yd3'!H42*'Mix Design'!$D$6)</f>
        <v>1187.3016023034913</v>
      </c>
      <c r="I37" s="71">
        <f>('Yd3'!I42*'Mix Design'!$D$6)</f>
        <v>1187.3016023034913</v>
      </c>
      <c r="J37" s="71">
        <f>('Yd3'!J42*'Mix Design'!$D$6)</f>
        <v>1187.3016023034913</v>
      </c>
      <c r="K37" s="71">
        <f>('Yd3'!K42*'Mix Design'!$D$6)</f>
        <v>1088.3598021115338</v>
      </c>
      <c r="L37" s="71">
        <f>('Yd3'!L42*'Mix Design'!$D$6)</f>
        <v>1385.1852026874067</v>
      </c>
      <c r="M37" s="71">
        <f>('Yd3'!M42*'Mix Design'!$D$6)</f>
        <v>1385.1852026874067</v>
      </c>
      <c r="N37" s="190">
        <f>('Yd3'!N42*'Mix Design'!$D$6)</f>
        <v>1202.806606908573</v>
      </c>
      <c r="O37" s="150"/>
      <c r="P37" s="73"/>
      <c r="Q37" s="75"/>
      <c r="R37" s="106">
        <f>SUM(C37:N37)</f>
        <v>15625.104284729365</v>
      </c>
    </row>
    <row r="38" spans="1:18">
      <c r="A38" s="104" t="s">
        <v>41</v>
      </c>
      <c r="B38" s="42" t="s">
        <v>63</v>
      </c>
      <c r="C38" s="183">
        <f>('Yd3'!C47*'Mix Design'!$F$12)</f>
        <v>1526.3309352517986</v>
      </c>
      <c r="D38" s="68">
        <f>('Yd3'!D47*'Mix Design'!$F$12)</f>
        <v>1173.5629352517985</v>
      </c>
      <c r="E38" s="68">
        <f>('Yd3'!E47*'Mix Design'!$F$12)</f>
        <v>1346.7625899280577</v>
      </c>
      <c r="F38" s="68">
        <f>('Yd3'!F47*'Mix Design'!$F$12)</f>
        <v>1032.5179856115108</v>
      </c>
      <c r="G38" s="68">
        <f>('Yd3'!G47*'Mix Design'!$F$12)</f>
        <v>1481.4388489208632</v>
      </c>
      <c r="H38" s="68">
        <f>('Yd3'!H47*'Mix Design'!$F$12)</f>
        <v>1077.4100719424459</v>
      </c>
      <c r="I38" s="68">
        <f>('Yd3'!I47*'Mix Design'!$F$12)</f>
        <v>1073.268776978417</v>
      </c>
      <c r="J38" s="68">
        <f>('Yd3'!J47*'Mix Design'!$F$12)</f>
        <v>1048.9956258992804</v>
      </c>
      <c r="K38" s="68">
        <f>('Yd3'!K47*'Mix Design'!$F$12)</f>
        <v>937.90716546762587</v>
      </c>
      <c r="L38" s="68">
        <f>('Yd3'!L47*'Mix Design'!$F$12)</f>
        <v>1160.9505035971222</v>
      </c>
      <c r="M38" s="68">
        <f>('Yd3'!M47*'Mix Design'!$F$12)</f>
        <v>1124.2714244604317</v>
      </c>
      <c r="N38" s="187">
        <f>('Yd3'!N47*'Mix Design'!$F$12)</f>
        <v>870.76581294964024</v>
      </c>
      <c r="O38" s="150"/>
      <c r="P38" s="73"/>
      <c r="Q38" s="75">
        <f>SUM(C38:N38)</f>
        <v>13854.182676258992</v>
      </c>
      <c r="R38" s="106"/>
    </row>
    <row r="39" spans="1:18">
      <c r="A39" s="107" t="s">
        <v>43</v>
      </c>
      <c r="B39" s="43" t="s">
        <v>63</v>
      </c>
      <c r="C39" s="184">
        <f>('Yd3'!C47*'Mix Design'!$C$3)</f>
        <v>3182.4</v>
      </c>
      <c r="D39" s="69">
        <f>('Yd3'!D47*'Mix Design'!$C$3)</f>
        <v>2446.8787200000002</v>
      </c>
      <c r="E39" s="69">
        <f>('Yd3'!E47*'Mix Design'!$C$3)</f>
        <v>2808</v>
      </c>
      <c r="F39" s="69">
        <f>('Yd3'!F47*'Mix Design'!$C$3)</f>
        <v>2152.7999999999997</v>
      </c>
      <c r="G39" s="69">
        <f>('Yd3'!G47*'Mix Design'!$C$3)</f>
        <v>3088.7999999999997</v>
      </c>
      <c r="H39" s="69">
        <f>('Yd3'!H47*'Mix Design'!$C$3)</f>
        <v>2246.3999999999996</v>
      </c>
      <c r="I39" s="69">
        <f>('Yd3'!I47*'Mix Design'!$C$3)</f>
        <v>2237.7653999999993</v>
      </c>
      <c r="J39" s="69">
        <f>('Yd3'!J47*'Mix Design'!$C$3)</f>
        <v>2187.1558799999998</v>
      </c>
      <c r="K39" s="69">
        <f>('Yd3'!K47*'Mix Design'!$C$3)</f>
        <v>1955.5364400000001</v>
      </c>
      <c r="L39" s="69">
        <f>('Yd3'!L47*'Mix Design'!$C$3)</f>
        <v>2420.5817999999999</v>
      </c>
      <c r="M39" s="69">
        <f>('Yd3'!M47*'Mix Design'!$C$3)</f>
        <v>2344.10592</v>
      </c>
      <c r="N39" s="188">
        <f>('Yd3'!N47*'Mix Design'!$C$3)</f>
        <v>1815.5467200000001</v>
      </c>
      <c r="O39" s="150">
        <f>SUM(C39:N39)</f>
        <v>28885.970879999993</v>
      </c>
      <c r="P39" s="73"/>
      <c r="Q39" s="75"/>
      <c r="R39" s="106"/>
    </row>
    <row r="40" spans="1:18">
      <c r="A40" s="109" t="s">
        <v>44</v>
      </c>
      <c r="B40" s="44" t="s">
        <v>63</v>
      </c>
      <c r="C40" s="185">
        <f>('Yd3'!C47*'Mix Design'!$D$3)</f>
        <v>106.61040000000003</v>
      </c>
      <c r="D40" s="70">
        <f>('Yd3'!D47*'Mix Design'!$D$3)</f>
        <v>81.970437120000014</v>
      </c>
      <c r="E40" s="70">
        <f>('Yd3'!E47*'Mix Design'!$D$3)</f>
        <v>94.068000000000012</v>
      </c>
      <c r="F40" s="70">
        <f>('Yd3'!F47*'Mix Design'!$D$3)</f>
        <v>72.118800000000007</v>
      </c>
      <c r="G40" s="70">
        <f>('Yd3'!G47*'Mix Design'!$D$3)</f>
        <v>103.4748</v>
      </c>
      <c r="H40" s="70">
        <f>('Yd3'!H47*'Mix Design'!$D$3)</f>
        <v>75.254400000000004</v>
      </c>
      <c r="I40" s="70">
        <f>('Yd3'!I47*'Mix Design'!$D$3)</f>
        <v>74.965140899999994</v>
      </c>
      <c r="J40" s="70">
        <f>('Yd3'!J47*'Mix Design'!$D$3)</f>
        <v>73.269721980000014</v>
      </c>
      <c r="K40" s="70">
        <f>('Yd3'!K47*'Mix Design'!$D$3)</f>
        <v>65.510470740000017</v>
      </c>
      <c r="L40" s="70">
        <f>('Yd3'!L47*'Mix Design'!$D$3)</f>
        <v>81.089490300000008</v>
      </c>
      <c r="M40" s="70">
        <f>('Yd3'!M47*'Mix Design'!$D$3)</f>
        <v>78.527548320000022</v>
      </c>
      <c r="N40" s="189">
        <f>('Yd3'!N47*'Mix Design'!$D$3)</f>
        <v>60.820815120000006</v>
      </c>
      <c r="O40" s="151"/>
      <c r="P40" s="74">
        <f>SUM(C40:N40)</f>
        <v>967.68002448000016</v>
      </c>
      <c r="Q40" s="75"/>
      <c r="R40" s="106"/>
    </row>
    <row r="41" spans="1:18" ht="16.5" thickBot="1">
      <c r="A41" s="193"/>
      <c r="B41" s="194" t="s">
        <v>42</v>
      </c>
      <c r="C41" s="195">
        <f>('Yd3'!C47*'Mix Design'!$D$6)</f>
        <v>1682.0106032632796</v>
      </c>
      <c r="D41" s="191">
        <f>('Yd3'!D47*'Mix Design'!$D$6)</f>
        <v>1293.2616741890654</v>
      </c>
      <c r="E41" s="191">
        <f>('Yd3'!E47*'Mix Design'!$D$6)</f>
        <v>1484.1270028793645</v>
      </c>
      <c r="F41" s="191">
        <f>('Yd3'!F47*'Mix Design'!$D$6)</f>
        <v>1137.8307022075126</v>
      </c>
      <c r="G41" s="191">
        <f>('Yd3'!G47*'Mix Design'!$D$6)</f>
        <v>1632.5397031673006</v>
      </c>
      <c r="H41" s="191">
        <f>('Yd3'!H47*'Mix Design'!$D$6)</f>
        <v>1187.3016023034913</v>
      </c>
      <c r="I41" s="191">
        <f>('Yd3'!I47*'Mix Design'!$D$6)</f>
        <v>1182.7379117696371</v>
      </c>
      <c r="J41" s="191">
        <f>('Yd3'!J47*'Mix Design'!$D$6)</f>
        <v>1155.9889960877417</v>
      </c>
      <c r="K41" s="191">
        <f>('Yd3'!K47*'Mix Design'!$D$6)</f>
        <v>1033.5699557402356</v>
      </c>
      <c r="L41" s="191">
        <f>('Yd3'!L47*'Mix Design'!$D$6)</f>
        <v>1279.3628248071</v>
      </c>
      <c r="M41" s="191">
        <f>('Yd3'!M47*'Mix Design'!$D$6)</f>
        <v>1238.9426258836806</v>
      </c>
      <c r="N41" s="192">
        <f>('Yd3'!N47*'Mix Design'!$D$6)</f>
        <v>959.5804530416882</v>
      </c>
      <c r="O41" s="150"/>
      <c r="P41" s="73"/>
      <c r="Q41" s="75"/>
      <c r="R41" s="106">
        <f>SUM(C41:N41)</f>
        <v>15267.254055340096</v>
      </c>
    </row>
    <row r="42" spans="1:18">
      <c r="C42" s="165"/>
      <c r="D42" s="166"/>
      <c r="E42" s="165"/>
      <c r="F42" s="165"/>
      <c r="G42" s="165"/>
      <c r="H42" s="165"/>
      <c r="I42" s="165"/>
      <c r="J42" s="165"/>
      <c r="K42" s="165"/>
      <c r="L42" s="165"/>
      <c r="M42" s="165"/>
      <c r="N42" s="165"/>
    </row>
    <row r="43" spans="1:18">
      <c r="C43" s="167"/>
      <c r="D43" s="168"/>
      <c r="E43" s="167"/>
      <c r="F43" s="167"/>
      <c r="G43" s="167"/>
      <c r="H43" s="167"/>
      <c r="I43" s="167"/>
      <c r="J43" s="167"/>
      <c r="K43" s="167"/>
      <c r="L43" s="167"/>
      <c r="M43" s="167"/>
      <c r="N43" s="167"/>
    </row>
  </sheetData>
  <phoneticPr fontId="1" type="noConversion"/>
  <printOptions horizontalCentered="1"/>
  <pageMargins left="0.25" right="0.25" top="0.75" bottom="0.5" header="0.5" footer="0"/>
  <pageSetup scale="95" orientation="portrait" horizontalDpi="4294967293" r:id="rId1"/>
  <headerFooter scaleWithDoc="0" alignWithMargins="0">
    <oddHeader>&amp;CKent Lower Level Qt'ys 09_09</oddHeader>
  </headerFooter>
  <rowBreaks count="1" manualBreakCount="1">
    <brk id="4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P27" sqref="P27"/>
    </sheetView>
  </sheetViews>
  <sheetFormatPr defaultRowHeight="15.75"/>
  <cols>
    <col min="1" max="1" width="20" style="1" bestFit="1" customWidth="1"/>
    <col min="2" max="2" width="8.42578125" style="1" bestFit="1" customWidth="1"/>
    <col min="3" max="3" width="14.5703125" style="1" bestFit="1" customWidth="1"/>
    <col min="4" max="4" width="8.42578125" style="1" bestFit="1" customWidth="1"/>
    <col min="5" max="5" width="11.85546875" style="1" bestFit="1" customWidth="1"/>
    <col min="6" max="6" width="7.28515625" style="1" bestFit="1" customWidth="1"/>
    <col min="7" max="7" width="9.42578125" style="1" bestFit="1" customWidth="1"/>
    <col min="8" max="8" width="9.85546875" style="1" bestFit="1" customWidth="1"/>
    <col min="9" max="10" width="10.140625" style="1" bestFit="1" customWidth="1"/>
    <col min="11" max="11" width="7.28515625" style="1" bestFit="1" customWidth="1"/>
    <col min="12" max="12" width="10.42578125" style="1" bestFit="1" customWidth="1"/>
    <col min="13" max="13" width="11.5703125" style="1" bestFit="1" customWidth="1"/>
    <col min="14" max="14" width="4" style="1" bestFit="1" customWidth="1"/>
    <col min="15" max="15" width="10.140625" style="1" bestFit="1" customWidth="1"/>
    <col min="16" max="16" width="9.42578125" style="1" bestFit="1" customWidth="1"/>
    <col min="17" max="17" width="5.42578125" style="1" bestFit="1" customWidth="1"/>
    <col min="18" max="16384" width="9.140625" style="1"/>
  </cols>
  <sheetData>
    <row r="1" spans="1:18" ht="16.5" thickBot="1">
      <c r="A1" s="5" t="s">
        <v>85</v>
      </c>
      <c r="B1" s="6">
        <v>10213.02</v>
      </c>
      <c r="C1" s="7" t="s">
        <v>1</v>
      </c>
      <c r="D1" s="7" t="s">
        <v>2</v>
      </c>
      <c r="E1" s="5" t="s">
        <v>3</v>
      </c>
      <c r="F1" s="5"/>
      <c r="G1" s="7" t="s">
        <v>1</v>
      </c>
      <c r="J1" s="79" t="s">
        <v>64</v>
      </c>
      <c r="K1" s="170">
        <v>120</v>
      </c>
      <c r="L1" s="80" t="s">
        <v>65</v>
      </c>
      <c r="M1" s="81">
        <f>K1*27</f>
        <v>3240</v>
      </c>
      <c r="N1" s="50" t="s">
        <v>68</v>
      </c>
      <c r="O1" s="98" t="s">
        <v>71</v>
      </c>
      <c r="P1" s="51" t="s">
        <v>72</v>
      </c>
    </row>
    <row r="2" spans="1:18" ht="16.5" thickBot="1">
      <c r="A2" s="8" t="s">
        <v>4</v>
      </c>
      <c r="B2" s="5" t="s">
        <v>5</v>
      </c>
      <c r="C2" s="6">
        <f>M3</f>
        <v>330901.848</v>
      </c>
      <c r="D2" s="6">
        <f>M4</f>
        <v>11085.211908000001</v>
      </c>
      <c r="E2" s="5" t="s">
        <v>6</v>
      </c>
      <c r="F2" s="9">
        <v>13</v>
      </c>
      <c r="G2" s="1" t="s">
        <v>7</v>
      </c>
      <c r="H2" s="7" t="s">
        <v>8</v>
      </c>
      <c r="J2" s="50"/>
      <c r="K2" s="50"/>
      <c r="L2" s="57" t="s">
        <v>66</v>
      </c>
      <c r="M2" s="57">
        <f>B1*M1</f>
        <v>33090184.800000001</v>
      </c>
      <c r="O2" s="97">
        <f>M2*N3</f>
        <v>1323607.392</v>
      </c>
      <c r="P2" s="53">
        <f>O2/2000</f>
        <v>661.80369599999995</v>
      </c>
      <c r="Q2" s="7"/>
    </row>
    <row r="3" spans="1:18" ht="16.5" thickBot="1">
      <c r="A3" s="10">
        <f>(C2/(C2+D2+(B9*8.34)))</f>
        <v>0.19866891824774013</v>
      </c>
      <c r="B3" s="5" t="s">
        <v>9</v>
      </c>
      <c r="C3" s="2">
        <f>(C2/$B$1)</f>
        <v>32.4</v>
      </c>
      <c r="D3" s="2">
        <f>(D2/$B$1)</f>
        <v>1.0854000000000001</v>
      </c>
      <c r="E3" s="5" t="s">
        <v>10</v>
      </c>
      <c r="F3" s="9">
        <v>10</v>
      </c>
      <c r="G3" s="11">
        <f>(C2/2204)</f>
        <v>150.13695462794919</v>
      </c>
      <c r="I3" s="128" t="s">
        <v>46</v>
      </c>
      <c r="J3" s="59"/>
      <c r="K3" s="50" t="s">
        <v>67</v>
      </c>
      <c r="L3" s="82">
        <v>0.01</v>
      </c>
      <c r="M3" s="30">
        <f>$M$2*L3</f>
        <v>330901.848</v>
      </c>
      <c r="N3" s="85">
        <v>0.04</v>
      </c>
      <c r="O3" s="58">
        <f>N3*M1</f>
        <v>129.6</v>
      </c>
      <c r="P3" s="54"/>
    </row>
    <row r="4" spans="1:18" ht="16.5" thickBot="1">
      <c r="A4" s="5" t="s">
        <v>11</v>
      </c>
      <c r="B4" s="12">
        <v>20</v>
      </c>
      <c r="C4" s="5" t="s">
        <v>12</v>
      </c>
      <c r="D4" s="13">
        <f>(D2/10.66)</f>
        <v>1039.8885467166981</v>
      </c>
      <c r="E4" s="5" t="s">
        <v>0</v>
      </c>
      <c r="F4" s="9">
        <v>13</v>
      </c>
      <c r="G4" s="14">
        <v>186</v>
      </c>
      <c r="H4" s="89">
        <f>((G4*2204)-C2)</f>
        <v>79042.152000000002</v>
      </c>
      <c r="I4" s="129">
        <f>G4*2204</f>
        <v>409944</v>
      </c>
      <c r="J4" s="50"/>
      <c r="K4" s="60" t="s">
        <v>2</v>
      </c>
      <c r="L4" s="127">
        <v>3.3500000000000002E-2</v>
      </c>
      <c r="M4" s="30">
        <f>M3*L4</f>
        <v>11085.211908000001</v>
      </c>
      <c r="N4" s="50"/>
      <c r="O4" s="58" t="s">
        <v>91</v>
      </c>
      <c r="P4" s="57">
        <f>F6*O3</f>
        <v>48671.999999999993</v>
      </c>
      <c r="Q4" s="15"/>
      <c r="R4" s="1">
        <v>44714</v>
      </c>
    </row>
    <row r="5" spans="1:18" ht="16.5" thickBot="1">
      <c r="A5" s="16" t="s">
        <v>13</v>
      </c>
      <c r="B5" s="17">
        <f>0.1049*B4*B4+9.1501*B4+3.1347</f>
        <v>228.0967</v>
      </c>
      <c r="C5" s="5" t="s">
        <v>14</v>
      </c>
      <c r="D5" s="2">
        <f>(D4/B1)</f>
        <v>0.10181988742964354</v>
      </c>
      <c r="E5" s="5" t="s">
        <v>15</v>
      </c>
      <c r="F5" s="18">
        <f>(F2*F3*F4/27)</f>
        <v>62.592592592592595</v>
      </c>
      <c r="H5" s="89">
        <f>H19</f>
        <v>-75696.12000000001</v>
      </c>
      <c r="I5" s="87">
        <f>C15</f>
        <v>406597.96799999999</v>
      </c>
      <c r="J5" s="50"/>
      <c r="L5" s="5" t="s">
        <v>92</v>
      </c>
      <c r="M5" s="2">
        <f>((B9*8.345)+C2+D2)/B12</f>
        <v>9.5280267696194336</v>
      </c>
      <c r="N5" s="50"/>
      <c r="O5" s="55"/>
      <c r="P5" s="52">
        <v>9.6300000000000008</v>
      </c>
    </row>
    <row r="6" spans="1:18" ht="16.5" thickBot="1">
      <c r="A6" s="16" t="s">
        <v>16</v>
      </c>
      <c r="B6" s="19">
        <f>B5*2.2046/1000/0.2642</f>
        <v>1.9033383225586678</v>
      </c>
      <c r="C6" s="20" t="s">
        <v>17</v>
      </c>
      <c r="D6" s="21">
        <f>(B12/B1)</f>
        <v>17.124542340915742</v>
      </c>
      <c r="E6" s="5" t="s">
        <v>18</v>
      </c>
      <c r="F6" s="3">
        <f>F7*F5</f>
        <v>375.55555555555554</v>
      </c>
      <c r="G6" s="88" t="s">
        <v>69</v>
      </c>
      <c r="H6" s="87">
        <f>SUM(H4:H5)</f>
        <v>3346.031999999992</v>
      </c>
      <c r="I6" s="130">
        <f>I4-I5</f>
        <v>3346.0320000000065</v>
      </c>
      <c r="J6" s="131">
        <f>I6/I4</f>
        <v>8.162168491306146E-3</v>
      </c>
      <c r="K6" s="17"/>
      <c r="L6" s="50" t="s">
        <v>76</v>
      </c>
      <c r="M6" s="53">
        <f>O3/D6</f>
        <v>7.5680854658723442</v>
      </c>
      <c r="N6" s="50"/>
      <c r="O6" s="56"/>
      <c r="P6" s="62"/>
      <c r="Q6" s="2"/>
    </row>
    <row r="7" spans="1:18">
      <c r="A7" s="5" t="s">
        <v>19</v>
      </c>
      <c r="B7" s="23">
        <f>B4*8.34/(100-B4)</f>
        <v>2.085</v>
      </c>
      <c r="C7" s="20" t="s">
        <v>20</v>
      </c>
      <c r="D7" s="24">
        <f>(F5*D6)</f>
        <v>1071.869502079541</v>
      </c>
      <c r="E7" s="5" t="s">
        <v>21</v>
      </c>
      <c r="F7" s="9">
        <v>6</v>
      </c>
      <c r="G7" s="7"/>
      <c r="J7" s="50"/>
      <c r="K7" s="19"/>
      <c r="L7" s="50" t="s">
        <v>93</v>
      </c>
      <c r="M7" s="83">
        <f>M5/M6</f>
        <v>1.2589745203836931</v>
      </c>
      <c r="N7" s="50"/>
      <c r="O7" s="58"/>
      <c r="P7" s="51"/>
    </row>
    <row r="8" spans="1:18">
      <c r="A8" s="5" t="s">
        <v>22</v>
      </c>
      <c r="B8" s="25">
        <f>(C2)</f>
        <v>330901.848</v>
      </c>
      <c r="C8" s="20" t="s">
        <v>23</v>
      </c>
      <c r="D8" s="26">
        <f>(D7/F10)</f>
        <v>13.398368775994262</v>
      </c>
      <c r="E8" s="5" t="s">
        <v>24</v>
      </c>
      <c r="F8" s="14">
        <v>10</v>
      </c>
      <c r="J8" s="50"/>
      <c r="K8" s="30"/>
      <c r="L8" s="50"/>
      <c r="M8" s="53"/>
      <c r="N8" s="50"/>
      <c r="O8" s="61"/>
      <c r="P8" s="52"/>
    </row>
    <row r="9" spans="1:18">
      <c r="A9" s="5" t="s">
        <v>25</v>
      </c>
      <c r="B9" s="25">
        <f>B8/B7</f>
        <v>158705.92230215829</v>
      </c>
      <c r="C9" s="27" t="s">
        <v>26</v>
      </c>
      <c r="D9" s="28">
        <f>(F5*D3)</f>
        <v>67.938000000000017</v>
      </c>
      <c r="E9" s="5" t="s">
        <v>27</v>
      </c>
      <c r="F9" s="29">
        <v>0.8</v>
      </c>
      <c r="G9" s="11"/>
      <c r="J9" s="50"/>
      <c r="K9" s="50"/>
      <c r="L9" s="85"/>
      <c r="M9" s="30"/>
      <c r="N9" s="50"/>
      <c r="O9" s="63"/>
      <c r="P9" s="54"/>
    </row>
    <row r="10" spans="1:18">
      <c r="A10" s="16" t="s">
        <v>28</v>
      </c>
      <c r="B10" s="30">
        <f>(B8/B6)</f>
        <v>173853.4048719026</v>
      </c>
      <c r="C10" s="27" t="s">
        <v>29</v>
      </c>
      <c r="D10" s="31">
        <f>(D9/F10)</f>
        <v>0.84922500000000023</v>
      </c>
      <c r="E10" s="5" t="s">
        <v>30</v>
      </c>
      <c r="F10" s="32">
        <f>(F8*F9*60/F7)</f>
        <v>80</v>
      </c>
      <c r="G10" s="86"/>
      <c r="J10" s="50"/>
      <c r="K10" s="30"/>
      <c r="L10" s="64"/>
      <c r="M10" s="83"/>
      <c r="N10" s="50"/>
      <c r="O10" s="17"/>
      <c r="P10" s="61"/>
    </row>
    <row r="11" spans="1:18" ht="16.5" thickBot="1">
      <c r="A11" s="5" t="s">
        <v>31</v>
      </c>
      <c r="B11" s="25">
        <f>(D4)</f>
        <v>1039.8885467166981</v>
      </c>
      <c r="C11" s="33" t="s">
        <v>32</v>
      </c>
      <c r="D11" s="34">
        <f>(C3*F5)</f>
        <v>2028</v>
      </c>
      <c r="E11" s="35" t="s">
        <v>33</v>
      </c>
      <c r="F11" s="36">
        <f>(B9/B1*F5)</f>
        <v>972.66187050359724</v>
      </c>
      <c r="G11" s="1" t="s">
        <v>34</v>
      </c>
      <c r="J11" s="50"/>
      <c r="K11" s="30"/>
      <c r="L11" s="16"/>
      <c r="M11" s="65"/>
      <c r="N11" s="50"/>
      <c r="O11" s="56"/>
      <c r="P11" s="52"/>
    </row>
    <row r="12" spans="1:18" ht="16.5" thickBot="1">
      <c r="A12" s="5" t="s">
        <v>35</v>
      </c>
      <c r="B12" s="25">
        <f>SUM(B10:B11)</f>
        <v>174893.29341861929</v>
      </c>
      <c r="C12" s="33" t="s">
        <v>36</v>
      </c>
      <c r="D12" s="37">
        <f>(D11/F10)</f>
        <v>25.35</v>
      </c>
      <c r="E12" s="35" t="s">
        <v>37</v>
      </c>
      <c r="F12" s="38">
        <f>(C3/B7)</f>
        <v>15.53956834532374</v>
      </c>
      <c r="G12" s="2">
        <f>(D2/585)</f>
        <v>18.949080184615386</v>
      </c>
      <c r="I12" s="128" t="s">
        <v>46</v>
      </c>
      <c r="J12" s="50"/>
      <c r="K12" s="30"/>
      <c r="L12" s="5"/>
      <c r="M12" s="13"/>
      <c r="N12" s="50"/>
      <c r="O12" s="53"/>
      <c r="P12" s="53"/>
    </row>
    <row r="13" spans="1:18" ht="16.5" thickBot="1">
      <c r="A13" s="39" t="s">
        <v>38</v>
      </c>
      <c r="B13" s="40">
        <f>(D11*F7)</f>
        <v>12168</v>
      </c>
      <c r="C13" s="136" t="s">
        <v>39</v>
      </c>
      <c r="D13" s="136">
        <f>(D9*F7)</f>
        <v>407.6280000000001</v>
      </c>
      <c r="E13" s="40" t="s">
        <v>40</v>
      </c>
      <c r="F13" s="40">
        <f>(F11*F7)</f>
        <v>5835.9712230215837</v>
      </c>
      <c r="G13" s="14">
        <v>24</v>
      </c>
      <c r="H13" s="89">
        <f>((G13*580)-D2)</f>
        <v>2834.7880919999989</v>
      </c>
      <c r="I13" s="129">
        <f>(G13*580)</f>
        <v>13920</v>
      </c>
      <c r="J13" s="50"/>
      <c r="K13" s="64"/>
      <c r="L13" s="50"/>
      <c r="M13" s="130"/>
      <c r="N13" s="133" t="s">
        <v>73</v>
      </c>
      <c r="O13" s="134">
        <f>O2+O17</f>
        <v>1474999.632</v>
      </c>
      <c r="P13" s="135">
        <f>P2+P17</f>
        <v>737.49981600000001</v>
      </c>
    </row>
    <row r="14" spans="1:18" ht="16.5" thickBot="1">
      <c r="A14" s="5" t="s">
        <v>88</v>
      </c>
      <c r="B14" s="13">
        <f>B1+B16</f>
        <v>11381.17</v>
      </c>
      <c r="C14" s="137" t="s">
        <v>1</v>
      </c>
      <c r="D14" s="137" t="s">
        <v>2</v>
      </c>
      <c r="H14" s="89">
        <f>H28</f>
        <v>-2535.8200200000006</v>
      </c>
      <c r="I14" s="87">
        <f>D15</f>
        <v>13621.031928000002</v>
      </c>
      <c r="N14" s="84"/>
      <c r="O14" s="84"/>
      <c r="P14" s="84"/>
    </row>
    <row r="15" spans="1:18" ht="16.5" thickBot="1">
      <c r="B15" s="5" t="s">
        <v>89</v>
      </c>
      <c r="C15" s="129">
        <f>C2+C17</f>
        <v>406597.96799999999</v>
      </c>
      <c r="D15" s="129">
        <f>D2+D17</f>
        <v>13621.031928000002</v>
      </c>
      <c r="G15" s="90" t="s">
        <v>69</v>
      </c>
      <c r="H15" s="89">
        <f>SUM(H13:H14)</f>
        <v>298.9680719999983</v>
      </c>
      <c r="I15" s="130">
        <f>I13-I14</f>
        <v>298.96807199999785</v>
      </c>
      <c r="J15" s="131">
        <f>I15/I13</f>
        <v>2.1477591379310192E-2</v>
      </c>
    </row>
    <row r="16" spans="1:18" ht="16.5" thickBot="1">
      <c r="A16" s="5" t="s">
        <v>86</v>
      </c>
      <c r="B16" s="6">
        <v>1168.1500000000001</v>
      </c>
      <c r="C16" s="7" t="s">
        <v>1</v>
      </c>
      <c r="D16" s="7" t="s">
        <v>2</v>
      </c>
      <c r="E16" s="5" t="s">
        <v>3</v>
      </c>
      <c r="F16" s="5"/>
      <c r="G16" s="7" t="s">
        <v>1</v>
      </c>
      <c r="J16" s="132" t="s">
        <v>64</v>
      </c>
      <c r="K16" s="170">
        <v>120</v>
      </c>
      <c r="L16" s="80" t="s">
        <v>65</v>
      </c>
      <c r="M16" s="81">
        <f>K16*27</f>
        <v>3240</v>
      </c>
      <c r="N16" s="50" t="s">
        <v>68</v>
      </c>
      <c r="O16" s="98" t="s">
        <v>71</v>
      </c>
      <c r="P16" s="51" t="s">
        <v>72</v>
      </c>
    </row>
    <row r="17" spans="1:18">
      <c r="A17" s="8" t="s">
        <v>4</v>
      </c>
      <c r="B17" s="5" t="s">
        <v>5</v>
      </c>
      <c r="C17" s="6">
        <f>M18</f>
        <v>75696.12000000001</v>
      </c>
      <c r="D17" s="6">
        <f>M19</f>
        <v>2535.8200200000006</v>
      </c>
      <c r="E17" s="5" t="s">
        <v>6</v>
      </c>
      <c r="F17" s="9">
        <v>13</v>
      </c>
      <c r="G17" s="1" t="s">
        <v>7</v>
      </c>
      <c r="H17" s="7" t="s">
        <v>8</v>
      </c>
      <c r="J17" s="50"/>
      <c r="K17" s="50"/>
      <c r="L17" s="57" t="s">
        <v>66</v>
      </c>
      <c r="M17" s="57">
        <f>B16*M16</f>
        <v>3784806.0000000005</v>
      </c>
      <c r="O17" s="97">
        <f>M17*N18</f>
        <v>151392.24000000002</v>
      </c>
      <c r="P17" s="53">
        <f>O17/2000</f>
        <v>75.696120000000008</v>
      </c>
    </row>
    <row r="18" spans="1:18" ht="16.5" thickBot="1">
      <c r="A18" s="10">
        <f>(C17/(C17+D17+(B24*8.34)))</f>
        <v>0.2479236395190281</v>
      </c>
      <c r="B18" s="5" t="s">
        <v>9</v>
      </c>
      <c r="C18" s="2">
        <f>(C17/$B$16)</f>
        <v>64.8</v>
      </c>
      <c r="D18" s="2">
        <f>(D17/$B$16)</f>
        <v>2.1708000000000003</v>
      </c>
      <c r="E18" s="5" t="s">
        <v>10</v>
      </c>
      <c r="F18" s="9">
        <v>10</v>
      </c>
      <c r="G18" s="11">
        <f>(C17/2204)</f>
        <v>34.344882032667883</v>
      </c>
      <c r="I18" s="1" t="s">
        <v>46</v>
      </c>
      <c r="J18" s="59"/>
      <c r="K18" s="50" t="s">
        <v>67</v>
      </c>
      <c r="L18" s="82">
        <v>0.02</v>
      </c>
      <c r="M18" s="30">
        <f>$M$17*L18</f>
        <v>75696.12000000001</v>
      </c>
      <c r="N18" s="85">
        <v>0.04</v>
      </c>
      <c r="O18" s="58">
        <f>N18*M16</f>
        <v>129.6</v>
      </c>
    </row>
    <row r="19" spans="1:18">
      <c r="A19" s="5" t="s">
        <v>11</v>
      </c>
      <c r="B19" s="12">
        <v>25</v>
      </c>
      <c r="C19" s="5" t="s">
        <v>12</v>
      </c>
      <c r="D19" s="13">
        <f>(D17/10.66)</f>
        <v>237.88180300187622</v>
      </c>
      <c r="E19" s="5" t="s">
        <v>0</v>
      </c>
      <c r="F19" s="9">
        <v>13</v>
      </c>
      <c r="G19" s="14">
        <v>0</v>
      </c>
      <c r="H19" s="15">
        <f>((G19*2204)-C17)</f>
        <v>-75696.12000000001</v>
      </c>
      <c r="I19" s="13">
        <f>G19*2204</f>
        <v>0</v>
      </c>
      <c r="J19" s="50"/>
      <c r="K19" s="60" t="s">
        <v>2</v>
      </c>
      <c r="L19" s="127">
        <v>3.3500000000000002E-2</v>
      </c>
      <c r="M19" s="30">
        <f>M18*L19</f>
        <v>2535.8200200000006</v>
      </c>
      <c r="R19" s="1">
        <v>10143</v>
      </c>
    </row>
    <row r="20" spans="1:18">
      <c r="A20" s="16" t="s">
        <v>13</v>
      </c>
      <c r="B20" s="17">
        <f>0.1049*B19*B19+9.1501*B19+3.1347</f>
        <v>297.44970000000001</v>
      </c>
      <c r="C20" s="5" t="s">
        <v>14</v>
      </c>
      <c r="D20" s="2">
        <f>(D19/B16)</f>
        <v>0.20363977485928708</v>
      </c>
      <c r="E20" s="5" t="s">
        <v>15</v>
      </c>
      <c r="F20" s="18">
        <f>(F17*F18*F19/27)</f>
        <v>62.592592592592595</v>
      </c>
      <c r="G20" s="5"/>
      <c r="H20" s="15"/>
      <c r="J20" s="50"/>
      <c r="L20" s="5" t="s">
        <v>92</v>
      </c>
      <c r="M20" s="2">
        <f>((B24*8.345)+C17+D17)/B27</f>
        <v>9.9382934545441444</v>
      </c>
    </row>
    <row r="21" spans="1:18">
      <c r="A21" s="16" t="s">
        <v>16</v>
      </c>
      <c r="B21" s="19">
        <f>B20*2.2046/1000/0.2642</f>
        <v>2.4820499947766845</v>
      </c>
      <c r="C21" s="20" t="s">
        <v>17</v>
      </c>
      <c r="D21" s="21">
        <f>(B27/B16)</f>
        <v>26.311091331583551</v>
      </c>
      <c r="E21" s="5" t="s">
        <v>18</v>
      </c>
      <c r="F21" s="3">
        <f>F22*F20</f>
        <v>375.55555555555554</v>
      </c>
      <c r="G21" s="22"/>
      <c r="H21" s="2"/>
      <c r="J21" s="50"/>
      <c r="K21" s="17"/>
      <c r="L21" s="50" t="s">
        <v>76</v>
      </c>
      <c r="M21" s="53">
        <f>O18/D21</f>
        <v>4.9256793785831885</v>
      </c>
    </row>
    <row r="22" spans="1:18">
      <c r="A22" s="5" t="s">
        <v>19</v>
      </c>
      <c r="B22" s="23">
        <f>B19*8.34/(100-B19)</f>
        <v>2.78</v>
      </c>
      <c r="C22" s="20" t="s">
        <v>20</v>
      </c>
      <c r="D22" s="24">
        <f>(F20*D21)</f>
        <v>1646.8794203843038</v>
      </c>
      <c r="E22" s="5" t="s">
        <v>21</v>
      </c>
      <c r="F22" s="9">
        <v>6</v>
      </c>
      <c r="G22" s="7"/>
      <c r="J22" s="50"/>
      <c r="K22" s="19"/>
      <c r="L22" s="50" t="s">
        <v>93</v>
      </c>
      <c r="M22" s="83">
        <f>M20/M21</f>
        <v>2.0176492805755402</v>
      </c>
    </row>
    <row r="23" spans="1:18">
      <c r="A23" s="5" t="s">
        <v>22</v>
      </c>
      <c r="B23" s="25">
        <f>(C17)</f>
        <v>75696.12000000001</v>
      </c>
      <c r="C23" s="20" t="s">
        <v>23</v>
      </c>
      <c r="D23" s="26">
        <f>(D22/F25)</f>
        <v>20.585992754803797</v>
      </c>
      <c r="E23" s="5" t="s">
        <v>24</v>
      </c>
      <c r="F23" s="14">
        <v>10</v>
      </c>
      <c r="J23" s="50"/>
      <c r="K23" s="30"/>
      <c r="L23" s="50"/>
      <c r="M23" s="53"/>
    </row>
    <row r="24" spans="1:18">
      <c r="A24" s="5" t="s">
        <v>25</v>
      </c>
      <c r="B24" s="25">
        <f>B23/B22</f>
        <v>27228.820143884899</v>
      </c>
      <c r="C24" s="27" t="s">
        <v>26</v>
      </c>
      <c r="D24" s="28">
        <f>(F20*D18)</f>
        <v>135.87600000000003</v>
      </c>
      <c r="E24" s="5" t="s">
        <v>27</v>
      </c>
      <c r="F24" s="29">
        <v>0.8</v>
      </c>
      <c r="G24" s="11"/>
      <c r="J24" s="50"/>
      <c r="K24" s="50"/>
      <c r="L24" s="85"/>
      <c r="M24" s="30"/>
    </row>
    <row r="25" spans="1:18">
      <c r="A25" s="16" t="s">
        <v>28</v>
      </c>
      <c r="B25" s="30">
        <f>(B23/B21)</f>
        <v>30497.41953598745</v>
      </c>
      <c r="C25" s="27" t="s">
        <v>29</v>
      </c>
      <c r="D25" s="31">
        <f>(D24/F25)</f>
        <v>1.6984500000000005</v>
      </c>
      <c r="E25" s="5" t="s">
        <v>30</v>
      </c>
      <c r="F25" s="32">
        <f>(F23*F24*60/F22)</f>
        <v>80</v>
      </c>
      <c r="G25" s="86"/>
      <c r="J25" s="50"/>
      <c r="K25" s="30"/>
      <c r="L25" s="64"/>
      <c r="M25" s="83"/>
    </row>
    <row r="26" spans="1:18">
      <c r="A26" s="5" t="s">
        <v>31</v>
      </c>
      <c r="B26" s="25">
        <f>(D19)</f>
        <v>237.88180300187622</v>
      </c>
      <c r="C26" s="33" t="s">
        <v>32</v>
      </c>
      <c r="D26" s="34">
        <f>(C18*F20)</f>
        <v>4056</v>
      </c>
      <c r="E26" s="35" t="s">
        <v>33</v>
      </c>
      <c r="F26" s="36">
        <f>(B24/B16*F20)</f>
        <v>1458.9928057553959</v>
      </c>
      <c r="G26" s="1" t="s">
        <v>34</v>
      </c>
      <c r="J26" s="50"/>
      <c r="K26" s="30"/>
      <c r="L26" s="16"/>
      <c r="M26" s="65"/>
    </row>
    <row r="27" spans="1:18">
      <c r="A27" s="5" t="s">
        <v>35</v>
      </c>
      <c r="B27" s="25">
        <f>SUM(B25:B26)</f>
        <v>30735.301338989328</v>
      </c>
      <c r="C27" s="33" t="s">
        <v>36</v>
      </c>
      <c r="D27" s="37">
        <f>(D26/F25)</f>
        <v>50.7</v>
      </c>
      <c r="E27" s="35" t="s">
        <v>37</v>
      </c>
      <c r="F27" s="38">
        <f>(C18/B22)</f>
        <v>23.309352517985612</v>
      </c>
      <c r="G27" s="2">
        <f>(D17/585)</f>
        <v>4.3347350769230779</v>
      </c>
      <c r="J27" s="50"/>
      <c r="K27" s="30"/>
      <c r="L27" s="5"/>
      <c r="M27" s="13"/>
    </row>
    <row r="28" spans="1:18">
      <c r="A28" s="39" t="s">
        <v>38</v>
      </c>
      <c r="B28" s="40">
        <f>(D26*F22)</f>
        <v>24336</v>
      </c>
      <c r="C28" s="40" t="s">
        <v>39</v>
      </c>
      <c r="D28" s="40">
        <f>(D24*F22)</f>
        <v>815.2560000000002</v>
      </c>
      <c r="E28" s="40" t="s">
        <v>40</v>
      </c>
      <c r="F28" s="40">
        <f>(F26*F22)</f>
        <v>8753.9568345323751</v>
      </c>
      <c r="G28" s="14">
        <v>0</v>
      </c>
      <c r="H28" s="15">
        <f>((G28*580)-D17)</f>
        <v>-2535.8200200000006</v>
      </c>
      <c r="I28" s="13">
        <f>(G28*560)</f>
        <v>0</v>
      </c>
      <c r="J28" s="50"/>
      <c r="K28" s="64"/>
      <c r="L28" s="16"/>
      <c r="M28" s="13"/>
    </row>
    <row r="29" spans="1:18">
      <c r="A29" s="5" t="s">
        <v>87</v>
      </c>
      <c r="B29" s="13">
        <f>B12+B27</f>
        <v>205628.5947576086</v>
      </c>
      <c r="H29" s="15"/>
      <c r="L29" s="5"/>
      <c r="M29" s="13"/>
    </row>
    <row r="30" spans="1:18">
      <c r="A30" s="5" t="s">
        <v>90</v>
      </c>
      <c r="B30" s="13">
        <f>B9+B24</f>
        <v>185934.74244604318</v>
      </c>
    </row>
    <row r="31" spans="1:18">
      <c r="L31" s="5"/>
      <c r="M31" s="2"/>
    </row>
    <row r="32" spans="1:18">
      <c r="L32" s="5"/>
    </row>
    <row r="33" spans="12:13">
      <c r="L33" s="5"/>
      <c r="M33" s="13"/>
    </row>
    <row r="34" spans="12:13">
      <c r="L34" s="5"/>
      <c r="M34" s="13"/>
    </row>
    <row r="35" spans="12:13">
      <c r="L35" s="5"/>
      <c r="M35" s="123"/>
    </row>
    <row r="36" spans="12:13">
      <c r="L36" s="5"/>
      <c r="M36" s="125"/>
    </row>
    <row r="37" spans="12:13">
      <c r="L37" s="5"/>
      <c r="M37" s="126"/>
    </row>
    <row r="38" spans="12:13">
      <c r="L38" s="5"/>
      <c r="M38" s="124"/>
    </row>
    <row r="39" spans="12:13">
      <c r="L39" s="5"/>
      <c r="M39" s="126"/>
    </row>
    <row r="40" spans="12:13">
      <c r="L40" s="5"/>
    </row>
  </sheetData>
  <phoneticPr fontId="1" type="noConversion"/>
  <pageMargins left="0.75" right="0.75" top="1" bottom="1" header="0.5" footer="0.5"/>
  <pageSetup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53"/>
  <sheetViews>
    <sheetView zoomScale="90" zoomScaleNormal="90" workbookViewId="0">
      <pane ySplit="1" topLeftCell="A2" activePane="bottomLeft" state="frozen"/>
      <selection pane="bottomLeft" activeCell="T51" sqref="T51"/>
    </sheetView>
  </sheetViews>
  <sheetFormatPr defaultRowHeight="15.75"/>
  <cols>
    <col min="1" max="1" width="6.85546875" style="5" bestFit="1" customWidth="1"/>
    <col min="2" max="2" width="4.5703125" style="1" bestFit="1" customWidth="1"/>
    <col min="3" max="8" width="7.28515625" style="11" bestFit="1" customWidth="1"/>
    <col min="9" max="9" width="9" style="11" bestFit="1" customWidth="1"/>
    <col min="10" max="14" width="9" style="11" customWidth="1"/>
    <col min="15" max="16" width="10" style="11" bestFit="1" customWidth="1"/>
    <col min="17" max="17" width="9" style="11" bestFit="1" customWidth="1"/>
    <col min="18" max="19" width="8.140625" style="11" bestFit="1" customWidth="1"/>
    <col min="20" max="27" width="10" style="11" bestFit="1" customWidth="1"/>
    <col min="28" max="28" width="11.140625" style="11" bestFit="1" customWidth="1"/>
    <col min="29" max="16384" width="9.140625" style="1"/>
  </cols>
  <sheetData>
    <row r="1" spans="1:28">
      <c r="B1" s="2"/>
      <c r="C1" s="66" t="s">
        <v>47</v>
      </c>
      <c r="D1" s="66" t="s">
        <v>48</v>
      </c>
      <c r="E1" s="66" t="s">
        <v>49</v>
      </c>
      <c r="F1" s="66" t="s">
        <v>50</v>
      </c>
      <c r="G1" s="66" t="s">
        <v>51</v>
      </c>
      <c r="H1" s="66" t="s">
        <v>52</v>
      </c>
      <c r="I1" s="66" t="s">
        <v>53</v>
      </c>
      <c r="J1" s="66" t="s">
        <v>80</v>
      </c>
      <c r="K1" s="66" t="s">
        <v>81</v>
      </c>
      <c r="L1" s="66" t="s">
        <v>82</v>
      </c>
      <c r="M1" s="66" t="s">
        <v>83</v>
      </c>
      <c r="N1" s="66" t="s">
        <v>84</v>
      </c>
      <c r="O1" s="72">
        <f t="shared" ref="O1:AA1" si="0">SUM(O2:O51)</f>
        <v>7775.5625518518527</v>
      </c>
      <c r="P1" s="172">
        <f t="shared" si="0"/>
        <v>1831.4837</v>
      </c>
      <c r="Q1" s="172">
        <f t="shared" si="0"/>
        <v>1445.9677999999999</v>
      </c>
      <c r="R1" s="172">
        <f t="shared" si="0"/>
        <v>519.90650000000005</v>
      </c>
      <c r="S1" s="172">
        <f t="shared" si="0"/>
        <v>985.78049999999996</v>
      </c>
      <c r="T1" s="172">
        <f t="shared" si="0"/>
        <v>1266.4758999999999</v>
      </c>
      <c r="U1" s="172">
        <f t="shared" si="0"/>
        <v>1431.5417</v>
      </c>
      <c r="V1" s="172">
        <f t="shared" si="0"/>
        <v>1374.5587</v>
      </c>
      <c r="W1" s="172">
        <f t="shared" si="0"/>
        <v>1365.0387000000001</v>
      </c>
      <c r="X1" s="172">
        <f t="shared" si="0"/>
        <v>1242.6085</v>
      </c>
      <c r="Y1" s="172">
        <f t="shared" si="0"/>
        <v>1569.4977000000001</v>
      </c>
      <c r="Z1" s="172">
        <f t="shared" si="0"/>
        <v>1556.0534</v>
      </c>
      <c r="AA1" s="172">
        <f t="shared" si="0"/>
        <v>1560.3321999999998</v>
      </c>
      <c r="AB1" s="11">
        <f>SUM(P1:AA1)</f>
        <v>16149.245299999999</v>
      </c>
    </row>
    <row r="2" spans="1:28">
      <c r="A2" s="5" t="s">
        <v>15</v>
      </c>
      <c r="B2" s="41" t="s">
        <v>54</v>
      </c>
      <c r="C2" s="46">
        <f t="shared" ref="C2" si="1">(C5-C6)*C3*C4/27</f>
        <v>93.400425925925916</v>
      </c>
      <c r="D2" s="46">
        <f t="shared" ref="D2:N2" si="2">(D5-D6)*D3*D4/27</f>
        <v>94.77264814814815</v>
      </c>
      <c r="E2" s="175">
        <f t="shared" si="2"/>
        <v>0</v>
      </c>
      <c r="F2" s="175">
        <f t="shared" ref="F2:G2" si="3">(F5-F6)*F3*F4/27</f>
        <v>0</v>
      </c>
      <c r="G2" s="175">
        <f t="shared" si="3"/>
        <v>0</v>
      </c>
      <c r="H2" s="46">
        <f t="shared" si="2"/>
        <v>117.26081851851851</v>
      </c>
      <c r="I2" s="46">
        <f t="shared" si="2"/>
        <v>90.091059259259254</v>
      </c>
      <c r="J2" s="46">
        <f t="shared" si="2"/>
        <v>87.069377777777774</v>
      </c>
      <c r="K2" s="46">
        <f t="shared" si="2"/>
        <v>77.159140740740739</v>
      </c>
      <c r="L2" s="46">
        <f t="shared" si="2"/>
        <v>94.530318518518527</v>
      </c>
      <c r="M2" s="46">
        <f t="shared" si="2"/>
        <v>90.417503703703701</v>
      </c>
      <c r="N2" s="46">
        <f t="shared" si="2"/>
        <v>84.823170370370363</v>
      </c>
      <c r="O2" s="11">
        <f>SUM(C2:N2)</f>
        <v>829.52446296296296</v>
      </c>
      <c r="P2" s="11">
        <f>C3*C4</f>
        <v>193.9855</v>
      </c>
      <c r="Q2" s="11">
        <f t="shared" ref="Q2:V2" si="4">D3*D4</f>
        <v>196.8355</v>
      </c>
      <c r="R2" s="11">
        <f t="shared" si="4"/>
        <v>0</v>
      </c>
      <c r="S2" s="11">
        <f t="shared" si="4"/>
        <v>0</v>
      </c>
      <c r="T2" s="11">
        <f t="shared" si="4"/>
        <v>0</v>
      </c>
      <c r="U2" s="11">
        <f t="shared" si="4"/>
        <v>243.54169999999999</v>
      </c>
      <c r="V2" s="11">
        <f t="shared" si="4"/>
        <v>187.1122</v>
      </c>
      <c r="W2" s="11">
        <f t="shared" ref="W2" si="5">J3*J4</f>
        <v>180.8364</v>
      </c>
      <c r="X2" s="11">
        <f t="shared" ref="X2" si="6">K3*K4</f>
        <v>160.25360000000001</v>
      </c>
      <c r="Y2" s="11">
        <f t="shared" ref="Y2" si="7">L3*L4</f>
        <v>196.3322</v>
      </c>
      <c r="Z2" s="11">
        <f t="shared" ref="Z2" si="8">M3*M4</f>
        <v>187.7902</v>
      </c>
      <c r="AA2" s="11">
        <f t="shared" ref="AA2" si="9">N3*N4</f>
        <v>176.1712</v>
      </c>
      <c r="AB2" s="11">
        <f>SUM(P2:AA2)</f>
        <v>1722.8585</v>
      </c>
    </row>
    <row r="3" spans="1:28">
      <c r="A3" s="5" t="s">
        <v>45</v>
      </c>
      <c r="B3" s="41"/>
      <c r="C3" s="47">
        <v>193.9855</v>
      </c>
      <c r="D3" s="47">
        <v>196.8355</v>
      </c>
      <c r="E3" s="176">
        <v>0</v>
      </c>
      <c r="F3" s="176">
        <v>0</v>
      </c>
      <c r="G3" s="176">
        <v>0</v>
      </c>
      <c r="H3" s="47">
        <v>243.54169999999999</v>
      </c>
      <c r="I3" s="47">
        <v>187.1122</v>
      </c>
      <c r="J3" s="47">
        <v>180.8364</v>
      </c>
      <c r="K3" s="47">
        <v>160.25360000000001</v>
      </c>
      <c r="L3" s="47">
        <v>196.3322</v>
      </c>
      <c r="M3" s="47">
        <v>187.7902</v>
      </c>
      <c r="N3" s="47">
        <v>176.1712</v>
      </c>
    </row>
    <row r="4" spans="1:28">
      <c r="A4" s="5" t="s">
        <v>10</v>
      </c>
      <c r="B4" s="41"/>
      <c r="C4" s="47">
        <v>1</v>
      </c>
      <c r="D4" s="47">
        <v>1</v>
      </c>
      <c r="E4" s="176">
        <v>0</v>
      </c>
      <c r="F4" s="176">
        <v>0</v>
      </c>
      <c r="G4" s="176">
        <v>0</v>
      </c>
      <c r="H4" s="47">
        <v>1</v>
      </c>
      <c r="I4" s="47">
        <v>1</v>
      </c>
      <c r="J4" s="47">
        <v>1</v>
      </c>
      <c r="K4" s="47">
        <v>1</v>
      </c>
      <c r="L4" s="47">
        <v>1</v>
      </c>
      <c r="M4" s="47">
        <v>1</v>
      </c>
      <c r="N4" s="47">
        <v>1</v>
      </c>
    </row>
    <row r="5" spans="1:28">
      <c r="A5" s="5" t="s">
        <v>74</v>
      </c>
      <c r="B5" s="78"/>
      <c r="C5" s="139">
        <v>845.5</v>
      </c>
      <c r="D5" s="139">
        <v>845.5</v>
      </c>
      <c r="E5" s="177">
        <v>0</v>
      </c>
      <c r="F5" s="177">
        <v>0</v>
      </c>
      <c r="G5" s="177">
        <v>0</v>
      </c>
      <c r="H5" s="139">
        <v>845.5</v>
      </c>
      <c r="I5" s="139">
        <v>845.5</v>
      </c>
      <c r="J5" s="139">
        <v>845.5</v>
      </c>
      <c r="K5" s="139">
        <v>845.5</v>
      </c>
      <c r="L5" s="139">
        <v>845.5</v>
      </c>
      <c r="M5" s="139">
        <v>845.5</v>
      </c>
      <c r="N5" s="139">
        <v>845.5</v>
      </c>
    </row>
    <row r="6" spans="1:28">
      <c r="A6" s="5" t="s">
        <v>75</v>
      </c>
      <c r="B6" s="138"/>
      <c r="C6" s="139">
        <v>832.5</v>
      </c>
      <c r="D6" s="139">
        <v>832.5</v>
      </c>
      <c r="E6" s="177">
        <v>0</v>
      </c>
      <c r="F6" s="177">
        <v>0</v>
      </c>
      <c r="G6" s="177">
        <v>0</v>
      </c>
      <c r="H6" s="139">
        <v>832.5</v>
      </c>
      <c r="I6" s="139">
        <v>832.5</v>
      </c>
      <c r="J6" s="139">
        <v>832.5</v>
      </c>
      <c r="K6" s="139">
        <v>832.5</v>
      </c>
      <c r="L6" s="139">
        <v>832.5</v>
      </c>
      <c r="M6" s="139">
        <v>832.5</v>
      </c>
      <c r="N6" s="139">
        <v>832.5</v>
      </c>
    </row>
    <row r="7" spans="1:28">
      <c r="A7" s="5" t="s">
        <v>15</v>
      </c>
      <c r="B7" s="76" t="s">
        <v>55</v>
      </c>
      <c r="C7" s="48">
        <f>(C10-C11)*C8*C9/27</f>
        <v>94.26405925925927</v>
      </c>
      <c r="D7" s="48">
        <f t="shared" ref="D7:N7" si="10">(D10-D11)*D8*D9/27</f>
        <v>60.279459259259255</v>
      </c>
      <c r="E7" s="178">
        <f t="shared" si="10"/>
        <v>0</v>
      </c>
      <c r="F7" s="178">
        <f t="shared" si="10"/>
        <v>0</v>
      </c>
      <c r="G7" s="48">
        <f t="shared" si="10"/>
        <v>48.352825925925927</v>
      </c>
      <c r="H7" s="48">
        <f t="shared" si="10"/>
        <v>69.333333333333329</v>
      </c>
      <c r="I7" s="48">
        <f t="shared" si="10"/>
        <v>69.333333333333329</v>
      </c>
      <c r="J7" s="48">
        <f t="shared" si="10"/>
        <v>69.333333333333329</v>
      </c>
      <c r="K7" s="48">
        <f t="shared" si="10"/>
        <v>63.555555555555557</v>
      </c>
      <c r="L7" s="48">
        <f t="shared" si="10"/>
        <v>80.888888888888886</v>
      </c>
      <c r="M7" s="48">
        <f t="shared" si="10"/>
        <v>80.888888888888886</v>
      </c>
      <c r="N7" s="48">
        <f t="shared" si="10"/>
        <v>84.888266666666667</v>
      </c>
      <c r="O7" s="11">
        <f>SUM(C7:N7)</f>
        <v>721.11794444444445</v>
      </c>
      <c r="P7" s="11">
        <f>C8*C9</f>
        <v>195.7792</v>
      </c>
      <c r="Q7" s="11">
        <f t="shared" ref="Q7:V7" si="11">D8*D9</f>
        <v>125.19580000000001</v>
      </c>
      <c r="R7" s="11">
        <f t="shared" si="11"/>
        <v>0</v>
      </c>
      <c r="S7" s="11">
        <f t="shared" si="11"/>
        <v>0</v>
      </c>
      <c r="T7" s="11">
        <f t="shared" si="11"/>
        <v>100.4251</v>
      </c>
      <c r="U7" s="11">
        <f t="shared" si="11"/>
        <v>144</v>
      </c>
      <c r="V7" s="11">
        <f t="shared" si="11"/>
        <v>144</v>
      </c>
      <c r="W7" s="11">
        <f t="shared" ref="W7" si="12">J8*J9</f>
        <v>144</v>
      </c>
      <c r="X7" s="11">
        <f t="shared" ref="X7" si="13">K8*K9</f>
        <v>132</v>
      </c>
      <c r="Y7" s="11">
        <f t="shared" ref="Y7" si="14">L8*L9</f>
        <v>168</v>
      </c>
      <c r="Z7" s="11">
        <f t="shared" ref="Z7" si="15">M8*M9</f>
        <v>168</v>
      </c>
      <c r="AA7" s="11">
        <f t="shared" ref="AA7" si="16">N8*N9</f>
        <v>176.3064</v>
      </c>
      <c r="AB7" s="11">
        <f>SUM(P7:AA7)</f>
        <v>1497.7065</v>
      </c>
    </row>
    <row r="8" spans="1:28">
      <c r="A8" s="5" t="s">
        <v>45</v>
      </c>
      <c r="B8" s="76"/>
      <c r="C8" s="49">
        <v>195.7792</v>
      </c>
      <c r="D8" s="49">
        <v>125.19580000000001</v>
      </c>
      <c r="E8" s="179">
        <v>0</v>
      </c>
      <c r="F8" s="179">
        <v>0</v>
      </c>
      <c r="G8" s="49">
        <v>100.4251</v>
      </c>
      <c r="H8" s="49">
        <v>12</v>
      </c>
      <c r="I8" s="49">
        <v>12</v>
      </c>
      <c r="J8" s="49">
        <v>12</v>
      </c>
      <c r="K8" s="49">
        <v>11</v>
      </c>
      <c r="L8" s="49">
        <v>14</v>
      </c>
      <c r="M8" s="49">
        <v>14</v>
      </c>
      <c r="N8" s="49">
        <v>176.3064</v>
      </c>
    </row>
    <row r="9" spans="1:28">
      <c r="A9" s="5" t="s">
        <v>10</v>
      </c>
      <c r="B9" s="76"/>
      <c r="C9" s="49">
        <v>1</v>
      </c>
      <c r="D9" s="49">
        <v>1</v>
      </c>
      <c r="E9" s="179">
        <v>0</v>
      </c>
      <c r="F9" s="179">
        <v>0</v>
      </c>
      <c r="G9" s="49">
        <v>1</v>
      </c>
      <c r="H9" s="49">
        <v>12</v>
      </c>
      <c r="I9" s="49">
        <v>12</v>
      </c>
      <c r="J9" s="49">
        <v>12</v>
      </c>
      <c r="K9" s="49">
        <v>12</v>
      </c>
      <c r="L9" s="49">
        <v>12</v>
      </c>
      <c r="M9" s="49">
        <v>12</v>
      </c>
      <c r="N9" s="49">
        <v>1</v>
      </c>
    </row>
    <row r="10" spans="1:28">
      <c r="A10" s="5" t="s">
        <v>74</v>
      </c>
      <c r="B10" s="77"/>
      <c r="C10" s="141">
        <v>845.5</v>
      </c>
      <c r="D10" s="141">
        <v>845.5</v>
      </c>
      <c r="E10" s="180">
        <v>0</v>
      </c>
      <c r="F10" s="180">
        <v>0</v>
      </c>
      <c r="G10" s="141">
        <v>845.5</v>
      </c>
      <c r="H10" s="141">
        <v>845.5</v>
      </c>
      <c r="I10" s="141">
        <v>845.5</v>
      </c>
      <c r="J10" s="141">
        <v>845.5</v>
      </c>
      <c r="K10" s="141">
        <v>845.5</v>
      </c>
      <c r="L10" s="141">
        <v>845.5</v>
      </c>
      <c r="M10" s="141">
        <v>845.5</v>
      </c>
      <c r="N10" s="141">
        <v>845.5</v>
      </c>
    </row>
    <row r="11" spans="1:28">
      <c r="A11" s="5" t="s">
        <v>75</v>
      </c>
      <c r="B11" s="140"/>
      <c r="C11" s="141">
        <v>832.5</v>
      </c>
      <c r="D11" s="141">
        <v>832.5</v>
      </c>
      <c r="E11" s="180">
        <v>0</v>
      </c>
      <c r="F11" s="180">
        <v>0</v>
      </c>
      <c r="G11" s="141">
        <v>832.5</v>
      </c>
      <c r="H11" s="141">
        <v>832.5</v>
      </c>
      <c r="I11" s="141">
        <v>832.5</v>
      </c>
      <c r="J11" s="141">
        <v>832.5</v>
      </c>
      <c r="K11" s="141">
        <v>832.5</v>
      </c>
      <c r="L11" s="141">
        <v>832.5</v>
      </c>
      <c r="M11" s="141">
        <v>832.5</v>
      </c>
      <c r="N11" s="141">
        <v>832.5</v>
      </c>
    </row>
    <row r="12" spans="1:28">
      <c r="A12" s="5" t="s">
        <v>15</v>
      </c>
      <c r="B12" s="41" t="s">
        <v>56</v>
      </c>
      <c r="C12" s="46">
        <f t="shared" ref="C12:N12" si="17">(C15-C16)*C13*C14/27</f>
        <v>75.905651851851857</v>
      </c>
      <c r="D12" s="46">
        <f t="shared" si="17"/>
        <v>65.835418518518509</v>
      </c>
      <c r="E12" s="175">
        <f t="shared" si="17"/>
        <v>0</v>
      </c>
      <c r="F12" s="175">
        <f t="shared" ref="F12" si="18">(F15-F16)*F13*F14/27</f>
        <v>0</v>
      </c>
      <c r="G12" s="46">
        <f t="shared" si="17"/>
        <v>60.101455555555553</v>
      </c>
      <c r="H12" s="46">
        <f t="shared" si="17"/>
        <v>57.777777777777779</v>
      </c>
      <c r="I12" s="46">
        <f t="shared" si="17"/>
        <v>57.777777777777779</v>
      </c>
      <c r="J12" s="46">
        <f t="shared" si="17"/>
        <v>57.777777777777779</v>
      </c>
      <c r="K12" s="46">
        <f t="shared" si="17"/>
        <v>52.962962962962962</v>
      </c>
      <c r="L12" s="46">
        <f t="shared" si="17"/>
        <v>67.407407407407405</v>
      </c>
      <c r="M12" s="46">
        <f t="shared" si="17"/>
        <v>67.407407407407405</v>
      </c>
      <c r="N12" s="46">
        <f t="shared" si="17"/>
        <v>74.793622222222226</v>
      </c>
      <c r="O12" s="11">
        <f>SUM(C12:N12)</f>
        <v>637.74725925925918</v>
      </c>
      <c r="P12" s="11">
        <f>C13*C14</f>
        <v>157.65020000000001</v>
      </c>
      <c r="Q12" s="11">
        <f t="shared" ref="Q12:V12" si="19">D13*D14</f>
        <v>136.73509999999999</v>
      </c>
      <c r="R12" s="11">
        <f t="shared" si="19"/>
        <v>0</v>
      </c>
      <c r="S12" s="11">
        <f t="shared" si="19"/>
        <v>0</v>
      </c>
      <c r="T12" s="11">
        <f t="shared" si="19"/>
        <v>124.8261</v>
      </c>
      <c r="U12" s="11">
        <f t="shared" si="19"/>
        <v>120</v>
      </c>
      <c r="V12" s="11">
        <f t="shared" si="19"/>
        <v>120</v>
      </c>
      <c r="W12" s="11">
        <f t="shared" ref="W12" si="20">J13*J14</f>
        <v>120</v>
      </c>
      <c r="X12" s="11">
        <f t="shared" ref="X12" si="21">K13*K14</f>
        <v>110</v>
      </c>
      <c r="Y12" s="11">
        <f t="shared" ref="Y12" si="22">L13*L14</f>
        <v>140</v>
      </c>
      <c r="Z12" s="11">
        <f t="shared" ref="Z12" si="23">M13*M14</f>
        <v>140</v>
      </c>
      <c r="AA12" s="11">
        <f t="shared" ref="AA12" si="24">N13*N14</f>
        <v>155.34059999999999</v>
      </c>
      <c r="AB12" s="11">
        <f>SUM(P12:AA12)</f>
        <v>1324.5520000000001</v>
      </c>
    </row>
    <row r="13" spans="1:28">
      <c r="A13" s="5" t="s">
        <v>45</v>
      </c>
      <c r="B13" s="41"/>
      <c r="C13" s="47">
        <v>157.65020000000001</v>
      </c>
      <c r="D13" s="47">
        <v>136.73509999999999</v>
      </c>
      <c r="E13" s="176">
        <v>0</v>
      </c>
      <c r="F13" s="176">
        <v>0</v>
      </c>
      <c r="G13" s="47">
        <v>124.8261</v>
      </c>
      <c r="H13" s="47">
        <v>12</v>
      </c>
      <c r="I13" s="47">
        <v>12</v>
      </c>
      <c r="J13" s="47">
        <v>12</v>
      </c>
      <c r="K13" s="47">
        <v>11</v>
      </c>
      <c r="L13" s="47">
        <v>14</v>
      </c>
      <c r="M13" s="47">
        <v>14</v>
      </c>
      <c r="N13" s="47">
        <v>155.34059999999999</v>
      </c>
    </row>
    <row r="14" spans="1:28">
      <c r="A14" s="5" t="s">
        <v>10</v>
      </c>
      <c r="B14" s="41"/>
      <c r="C14" s="47">
        <v>1</v>
      </c>
      <c r="D14" s="47">
        <v>1</v>
      </c>
      <c r="E14" s="176">
        <v>0</v>
      </c>
      <c r="F14" s="176">
        <v>0</v>
      </c>
      <c r="G14" s="47">
        <v>1</v>
      </c>
      <c r="H14" s="47">
        <v>10</v>
      </c>
      <c r="I14" s="47">
        <v>10</v>
      </c>
      <c r="J14" s="47">
        <v>10</v>
      </c>
      <c r="K14" s="47">
        <v>10</v>
      </c>
      <c r="L14" s="47">
        <v>10</v>
      </c>
      <c r="M14" s="47">
        <v>10</v>
      </c>
      <c r="N14" s="47">
        <v>1</v>
      </c>
    </row>
    <row r="15" spans="1:28">
      <c r="A15" s="5" t="s">
        <v>74</v>
      </c>
      <c r="B15" s="78"/>
      <c r="C15" s="139">
        <v>845.5</v>
      </c>
      <c r="D15" s="139">
        <v>845.5</v>
      </c>
      <c r="E15" s="177">
        <v>0</v>
      </c>
      <c r="F15" s="177">
        <v>0</v>
      </c>
      <c r="G15" s="139">
        <v>845.5</v>
      </c>
      <c r="H15" s="139">
        <v>845.5</v>
      </c>
      <c r="I15" s="139">
        <v>845.5</v>
      </c>
      <c r="J15" s="139">
        <v>845.5</v>
      </c>
      <c r="K15" s="139">
        <v>845.5</v>
      </c>
      <c r="L15" s="139">
        <v>845.5</v>
      </c>
      <c r="M15" s="139">
        <v>845.5</v>
      </c>
      <c r="N15" s="139">
        <v>845.5</v>
      </c>
    </row>
    <row r="16" spans="1:28">
      <c r="A16" s="5" t="s">
        <v>75</v>
      </c>
      <c r="B16" s="138"/>
      <c r="C16" s="139">
        <v>832.5</v>
      </c>
      <c r="D16" s="139">
        <v>832.5</v>
      </c>
      <c r="E16" s="177">
        <v>0</v>
      </c>
      <c r="F16" s="177">
        <v>0</v>
      </c>
      <c r="G16" s="139">
        <v>832.5</v>
      </c>
      <c r="H16" s="139">
        <v>832.5</v>
      </c>
      <c r="I16" s="139">
        <v>832.5</v>
      </c>
      <c r="J16" s="139">
        <v>832.5</v>
      </c>
      <c r="K16" s="139">
        <v>832.5</v>
      </c>
      <c r="L16" s="139">
        <v>832.5</v>
      </c>
      <c r="M16" s="139">
        <v>832.5</v>
      </c>
      <c r="N16" s="139">
        <v>832.5</v>
      </c>
    </row>
    <row r="17" spans="1:28">
      <c r="A17" s="5" t="s">
        <v>15</v>
      </c>
      <c r="B17" s="76" t="s">
        <v>57</v>
      </c>
      <c r="C17" s="48">
        <f>(C20-C21)*C18*C19/27</f>
        <v>73.498629629629633</v>
      </c>
      <c r="D17" s="48">
        <f t="shared" ref="D17:N17" si="25">(D20-D21)*D18*D19/27</f>
        <v>80.019525925925919</v>
      </c>
      <c r="E17" s="178">
        <f t="shared" si="25"/>
        <v>0</v>
      </c>
      <c r="F17" s="178">
        <f t="shared" si="25"/>
        <v>0</v>
      </c>
      <c r="G17" s="48">
        <f t="shared" si="25"/>
        <v>78.10818888888889</v>
      </c>
      <c r="H17" s="48">
        <f t="shared" si="25"/>
        <v>57.777777777777779</v>
      </c>
      <c r="I17" s="48">
        <f t="shared" si="25"/>
        <v>57.777777777777779</v>
      </c>
      <c r="J17" s="48">
        <f t="shared" si="25"/>
        <v>57.777777777777779</v>
      </c>
      <c r="K17" s="48">
        <f t="shared" si="25"/>
        <v>52.962962962962962</v>
      </c>
      <c r="L17" s="48">
        <f t="shared" si="25"/>
        <v>67.407407407407405</v>
      </c>
      <c r="M17" s="48">
        <f t="shared" si="25"/>
        <v>67.407407407407405</v>
      </c>
      <c r="N17" s="48">
        <f t="shared" si="25"/>
        <v>78.42601481481482</v>
      </c>
      <c r="O17" s="11">
        <f>SUM(C17:N17)</f>
        <v>671.16347037037031</v>
      </c>
      <c r="P17" s="11">
        <f>C18*C19</f>
        <v>152.65100000000001</v>
      </c>
      <c r="Q17" s="11">
        <f t="shared" ref="Q17:V17" si="26">D18*D19</f>
        <v>166.1944</v>
      </c>
      <c r="R17" s="11">
        <f t="shared" si="26"/>
        <v>0</v>
      </c>
      <c r="S17" s="11">
        <f t="shared" si="26"/>
        <v>0</v>
      </c>
      <c r="T17" s="11">
        <f t="shared" si="26"/>
        <v>162.22470000000001</v>
      </c>
      <c r="U17" s="11">
        <f t="shared" si="26"/>
        <v>120</v>
      </c>
      <c r="V17" s="11">
        <f t="shared" si="26"/>
        <v>120</v>
      </c>
      <c r="W17" s="11">
        <f t="shared" ref="W17" si="27">J18*J19</f>
        <v>120</v>
      </c>
      <c r="X17" s="11">
        <f t="shared" ref="X17" si="28">K18*K19</f>
        <v>110</v>
      </c>
      <c r="Y17" s="11">
        <f t="shared" ref="Y17" si="29">L18*L19</f>
        <v>140</v>
      </c>
      <c r="Z17" s="11">
        <f t="shared" ref="Z17" si="30">M18*M19</f>
        <v>140</v>
      </c>
      <c r="AA17" s="11">
        <f t="shared" ref="AA17" si="31">N18*N19</f>
        <v>162.88480000000001</v>
      </c>
      <c r="AB17" s="11">
        <f>SUM(P17:AA17)</f>
        <v>1393.9549</v>
      </c>
    </row>
    <row r="18" spans="1:28">
      <c r="A18" s="5" t="s">
        <v>45</v>
      </c>
      <c r="B18" s="76"/>
      <c r="C18" s="49">
        <v>152.65100000000001</v>
      </c>
      <c r="D18" s="49">
        <v>166.1944</v>
      </c>
      <c r="E18" s="179">
        <v>0</v>
      </c>
      <c r="F18" s="179">
        <v>0</v>
      </c>
      <c r="G18" s="49">
        <v>162.22470000000001</v>
      </c>
      <c r="H18" s="49">
        <v>12</v>
      </c>
      <c r="I18" s="49">
        <v>12</v>
      </c>
      <c r="J18" s="49">
        <v>12</v>
      </c>
      <c r="K18" s="49">
        <v>11</v>
      </c>
      <c r="L18" s="49">
        <v>14</v>
      </c>
      <c r="M18" s="49">
        <v>14</v>
      </c>
      <c r="N18" s="49">
        <v>162.88480000000001</v>
      </c>
    </row>
    <row r="19" spans="1:28">
      <c r="A19" s="5" t="s">
        <v>10</v>
      </c>
      <c r="B19" s="76"/>
      <c r="C19" s="49">
        <v>1</v>
      </c>
      <c r="D19" s="49">
        <v>1</v>
      </c>
      <c r="E19" s="179">
        <v>0</v>
      </c>
      <c r="F19" s="179">
        <v>0</v>
      </c>
      <c r="G19" s="49">
        <v>1</v>
      </c>
      <c r="H19" s="49">
        <v>10</v>
      </c>
      <c r="I19" s="49">
        <v>10</v>
      </c>
      <c r="J19" s="49">
        <v>10</v>
      </c>
      <c r="K19" s="49">
        <v>10</v>
      </c>
      <c r="L19" s="49">
        <v>10</v>
      </c>
      <c r="M19" s="49">
        <v>10</v>
      </c>
      <c r="N19" s="49">
        <v>1</v>
      </c>
    </row>
    <row r="20" spans="1:28">
      <c r="A20" s="5" t="s">
        <v>74</v>
      </c>
      <c r="B20" s="77"/>
      <c r="C20" s="141">
        <v>845.5</v>
      </c>
      <c r="D20" s="141">
        <v>845.5</v>
      </c>
      <c r="E20" s="180">
        <v>0</v>
      </c>
      <c r="F20" s="180">
        <v>0</v>
      </c>
      <c r="G20" s="141">
        <v>845.5</v>
      </c>
      <c r="H20" s="141">
        <v>845.5</v>
      </c>
      <c r="I20" s="141">
        <v>845.5</v>
      </c>
      <c r="J20" s="141">
        <v>845.5</v>
      </c>
      <c r="K20" s="141">
        <v>845.5</v>
      </c>
      <c r="L20" s="141">
        <v>845.5</v>
      </c>
      <c r="M20" s="141">
        <v>845.5</v>
      </c>
      <c r="N20" s="141">
        <v>845.5</v>
      </c>
    </row>
    <row r="21" spans="1:28">
      <c r="A21" s="5" t="s">
        <v>75</v>
      </c>
      <c r="B21" s="140"/>
      <c r="C21" s="141">
        <v>832.5</v>
      </c>
      <c r="D21" s="141">
        <v>832.5</v>
      </c>
      <c r="E21" s="180">
        <v>0</v>
      </c>
      <c r="F21" s="180">
        <v>0</v>
      </c>
      <c r="G21" s="141">
        <v>832.5</v>
      </c>
      <c r="H21" s="141">
        <v>832.5</v>
      </c>
      <c r="I21" s="141">
        <v>832.5</v>
      </c>
      <c r="J21" s="141">
        <v>832.5</v>
      </c>
      <c r="K21" s="141">
        <v>832.5</v>
      </c>
      <c r="L21" s="141">
        <v>832.5</v>
      </c>
      <c r="M21" s="141">
        <v>832.5</v>
      </c>
      <c r="N21" s="141">
        <v>832.5</v>
      </c>
    </row>
    <row r="22" spans="1:28">
      <c r="A22" s="5" t="s">
        <v>15</v>
      </c>
      <c r="B22" s="41" t="s">
        <v>58</v>
      </c>
      <c r="C22" s="46">
        <f t="shared" ref="C22:N22" si="32">(C25-C26)*C23*C24/27</f>
        <v>78.201162962962954</v>
      </c>
      <c r="D22" s="46">
        <f t="shared" si="32"/>
        <v>64.948866666666675</v>
      </c>
      <c r="E22" s="175">
        <f t="shared" si="32"/>
        <v>0</v>
      </c>
      <c r="F22" s="46">
        <f t="shared" si="32"/>
        <v>64.948866666666675</v>
      </c>
      <c r="G22" s="46">
        <f t="shared" si="32"/>
        <v>52.962962962962962</v>
      </c>
      <c r="H22" s="46">
        <f t="shared" si="32"/>
        <v>57.777777777777779</v>
      </c>
      <c r="I22" s="46">
        <f t="shared" si="32"/>
        <v>57.777777777777779</v>
      </c>
      <c r="J22" s="46">
        <f t="shared" si="32"/>
        <v>57.777777777777779</v>
      </c>
      <c r="K22" s="46">
        <f t="shared" si="32"/>
        <v>52.962962962962962</v>
      </c>
      <c r="L22" s="46">
        <f t="shared" si="32"/>
        <v>67.407407407407405</v>
      </c>
      <c r="M22" s="46">
        <f t="shared" si="32"/>
        <v>67.407407407407405</v>
      </c>
      <c r="N22" s="46">
        <f t="shared" si="32"/>
        <v>77.277199999999993</v>
      </c>
      <c r="O22" s="11">
        <f>SUM(C22:N22)</f>
        <v>699.4501703703703</v>
      </c>
      <c r="P22" s="11">
        <f>C23*C24</f>
        <v>162.4178</v>
      </c>
      <c r="Q22" s="11">
        <f t="shared" ref="Q22:V22" si="33">D23*D24</f>
        <v>134.8938</v>
      </c>
      <c r="R22" s="11">
        <f t="shared" si="33"/>
        <v>0</v>
      </c>
      <c r="S22" s="11">
        <f t="shared" si="33"/>
        <v>134.8938</v>
      </c>
      <c r="T22" s="11">
        <f t="shared" si="33"/>
        <v>110</v>
      </c>
      <c r="U22" s="11">
        <f t="shared" si="33"/>
        <v>120</v>
      </c>
      <c r="V22" s="11">
        <f t="shared" si="33"/>
        <v>120</v>
      </c>
      <c r="W22" s="11">
        <f t="shared" ref="W22" si="34">J23*J24</f>
        <v>120</v>
      </c>
      <c r="X22" s="11">
        <f t="shared" ref="X22" si="35">K23*K24</f>
        <v>110</v>
      </c>
      <c r="Y22" s="11">
        <f t="shared" ref="Y22" si="36">L23*L24</f>
        <v>140</v>
      </c>
      <c r="Z22" s="11">
        <f t="shared" ref="Z22" si="37">M23*M24</f>
        <v>140</v>
      </c>
      <c r="AA22" s="11">
        <f t="shared" ref="AA22" si="38">N23*N24</f>
        <v>160.49879999999999</v>
      </c>
      <c r="AB22" s="11">
        <f>SUM(P22:AA22)</f>
        <v>1452.7042000000001</v>
      </c>
    </row>
    <row r="23" spans="1:28">
      <c r="A23" s="5" t="s">
        <v>45</v>
      </c>
      <c r="B23" s="41"/>
      <c r="C23" s="47">
        <v>162.4178</v>
      </c>
      <c r="D23" s="47">
        <v>134.8938</v>
      </c>
      <c r="E23" s="176">
        <v>0</v>
      </c>
      <c r="F23" s="47">
        <v>134.8938</v>
      </c>
      <c r="G23" s="47">
        <v>11</v>
      </c>
      <c r="H23" s="47">
        <v>12</v>
      </c>
      <c r="I23" s="47">
        <v>12</v>
      </c>
      <c r="J23" s="47">
        <v>12</v>
      </c>
      <c r="K23" s="47">
        <v>11</v>
      </c>
      <c r="L23" s="47">
        <v>14</v>
      </c>
      <c r="M23" s="47">
        <v>14</v>
      </c>
      <c r="N23" s="47">
        <v>160.49879999999999</v>
      </c>
    </row>
    <row r="24" spans="1:28">
      <c r="A24" s="5" t="s">
        <v>10</v>
      </c>
      <c r="B24" s="41"/>
      <c r="C24" s="47">
        <v>1</v>
      </c>
      <c r="D24" s="47">
        <v>1</v>
      </c>
      <c r="E24" s="176">
        <v>0</v>
      </c>
      <c r="F24" s="47">
        <v>1</v>
      </c>
      <c r="G24" s="47">
        <v>10</v>
      </c>
      <c r="H24" s="47">
        <v>10</v>
      </c>
      <c r="I24" s="47">
        <v>10</v>
      </c>
      <c r="J24" s="47">
        <v>10</v>
      </c>
      <c r="K24" s="47">
        <v>10</v>
      </c>
      <c r="L24" s="47">
        <v>10</v>
      </c>
      <c r="M24" s="47">
        <v>10</v>
      </c>
      <c r="N24" s="47">
        <v>1</v>
      </c>
    </row>
    <row r="25" spans="1:28">
      <c r="A25" s="5" t="s">
        <v>74</v>
      </c>
      <c r="B25" s="78"/>
      <c r="C25" s="139">
        <v>845.5</v>
      </c>
      <c r="D25" s="139">
        <v>845.5</v>
      </c>
      <c r="E25" s="177">
        <v>0</v>
      </c>
      <c r="F25" s="139">
        <v>845.5</v>
      </c>
      <c r="G25" s="139">
        <v>845.5</v>
      </c>
      <c r="H25" s="139">
        <v>845.5</v>
      </c>
      <c r="I25" s="139">
        <v>845.5</v>
      </c>
      <c r="J25" s="139">
        <v>845.5</v>
      </c>
      <c r="K25" s="139">
        <v>845.5</v>
      </c>
      <c r="L25" s="139">
        <v>845.5</v>
      </c>
      <c r="M25" s="139">
        <v>845.5</v>
      </c>
      <c r="N25" s="139">
        <v>845.5</v>
      </c>
    </row>
    <row r="26" spans="1:28">
      <c r="A26" s="5" t="s">
        <v>75</v>
      </c>
      <c r="B26" s="138"/>
      <c r="C26" s="139">
        <v>832.5</v>
      </c>
      <c r="D26" s="139">
        <v>832.5</v>
      </c>
      <c r="E26" s="177">
        <v>0</v>
      </c>
      <c r="F26" s="139">
        <v>832.5</v>
      </c>
      <c r="G26" s="139">
        <v>832.5</v>
      </c>
      <c r="H26" s="139">
        <v>832.5</v>
      </c>
      <c r="I26" s="139">
        <v>832.5</v>
      </c>
      <c r="J26" s="139">
        <v>832.5</v>
      </c>
      <c r="K26" s="139">
        <v>832.5</v>
      </c>
      <c r="L26" s="139">
        <v>832.5</v>
      </c>
      <c r="M26" s="139">
        <v>832.5</v>
      </c>
      <c r="N26" s="139">
        <v>832.5</v>
      </c>
    </row>
    <row r="27" spans="1:28">
      <c r="A27" s="5" t="s">
        <v>15</v>
      </c>
      <c r="B27" s="76" t="s">
        <v>59</v>
      </c>
      <c r="C27" s="48">
        <f>(C30-C31)*C28*C29/27</f>
        <v>81.851851851851848</v>
      </c>
      <c r="D27" s="48">
        <f t="shared" ref="D27:N27" si="39">(D30-D31)*D28*D29/27</f>
        <v>73.586355555555556</v>
      </c>
      <c r="E27" s="178">
        <f t="shared" si="39"/>
        <v>0</v>
      </c>
      <c r="F27" s="48">
        <f t="shared" si="39"/>
        <v>73.586355555555556</v>
      </c>
      <c r="G27" s="48">
        <f t="shared" si="39"/>
        <v>52.962962962962962</v>
      </c>
      <c r="H27" s="48">
        <f t="shared" si="39"/>
        <v>57.777777777777779</v>
      </c>
      <c r="I27" s="48">
        <f t="shared" si="39"/>
        <v>57.777777777777779</v>
      </c>
      <c r="J27" s="48">
        <f t="shared" si="39"/>
        <v>57.777777777777779</v>
      </c>
      <c r="K27" s="48">
        <f t="shared" si="39"/>
        <v>52.962962962962962</v>
      </c>
      <c r="L27" s="48">
        <f t="shared" si="39"/>
        <v>67.407407407407405</v>
      </c>
      <c r="M27" s="48">
        <f t="shared" si="39"/>
        <v>67.407407407407405</v>
      </c>
      <c r="N27" s="48">
        <f t="shared" si="39"/>
        <v>73.017003703703708</v>
      </c>
      <c r="O27" s="11">
        <f>SUM(C27:N27)</f>
        <v>716.11564074074067</v>
      </c>
      <c r="P27" s="11">
        <f>C28*C29</f>
        <v>170</v>
      </c>
      <c r="Q27" s="11">
        <f t="shared" ref="Q27:V27" si="40">D28*D29</f>
        <v>152.83320000000001</v>
      </c>
      <c r="R27" s="11">
        <f t="shared" si="40"/>
        <v>0</v>
      </c>
      <c r="S27" s="11">
        <f t="shared" si="40"/>
        <v>152.83320000000001</v>
      </c>
      <c r="T27" s="11">
        <f t="shared" si="40"/>
        <v>110</v>
      </c>
      <c r="U27" s="11">
        <f t="shared" si="40"/>
        <v>120</v>
      </c>
      <c r="V27" s="11">
        <f t="shared" si="40"/>
        <v>120</v>
      </c>
      <c r="W27" s="11">
        <f t="shared" ref="W27" si="41">J28*J29</f>
        <v>120</v>
      </c>
      <c r="X27" s="11">
        <f t="shared" ref="X27" si="42">K28*K29</f>
        <v>110</v>
      </c>
      <c r="Y27" s="11">
        <f t="shared" ref="Y27" si="43">L28*L29</f>
        <v>140</v>
      </c>
      <c r="Z27" s="11">
        <f t="shared" ref="Z27" si="44">M28*M29</f>
        <v>140</v>
      </c>
      <c r="AA27" s="11">
        <f t="shared" ref="AA27" si="45">N28*N29</f>
        <v>151.6507</v>
      </c>
      <c r="AB27" s="11">
        <f>SUM(P27:AA27)</f>
        <v>1487.3171</v>
      </c>
    </row>
    <row r="28" spans="1:28">
      <c r="A28" s="5" t="s">
        <v>45</v>
      </c>
      <c r="B28" s="76"/>
      <c r="C28" s="49">
        <v>170</v>
      </c>
      <c r="D28" s="49">
        <v>152.83320000000001</v>
      </c>
      <c r="E28" s="179">
        <v>0</v>
      </c>
      <c r="F28" s="49">
        <v>152.83320000000001</v>
      </c>
      <c r="G28" s="49">
        <v>11</v>
      </c>
      <c r="H28" s="49">
        <v>12</v>
      </c>
      <c r="I28" s="49">
        <v>12</v>
      </c>
      <c r="J28" s="49">
        <v>12</v>
      </c>
      <c r="K28" s="49">
        <v>11</v>
      </c>
      <c r="L28" s="49">
        <v>14</v>
      </c>
      <c r="M28" s="49">
        <v>14</v>
      </c>
      <c r="N28" s="49">
        <v>151.6507</v>
      </c>
    </row>
    <row r="29" spans="1:28">
      <c r="A29" s="5" t="s">
        <v>10</v>
      </c>
      <c r="B29" s="76"/>
      <c r="C29" s="49">
        <v>1</v>
      </c>
      <c r="D29" s="49">
        <v>1</v>
      </c>
      <c r="E29" s="179">
        <v>0</v>
      </c>
      <c r="F29" s="49">
        <v>1</v>
      </c>
      <c r="G29" s="49">
        <v>10</v>
      </c>
      <c r="H29" s="49">
        <v>10</v>
      </c>
      <c r="I29" s="49">
        <v>10</v>
      </c>
      <c r="J29" s="49">
        <v>10</v>
      </c>
      <c r="K29" s="49">
        <v>10</v>
      </c>
      <c r="L29" s="49">
        <v>10</v>
      </c>
      <c r="M29" s="49">
        <v>10</v>
      </c>
      <c r="N29" s="49">
        <v>1</v>
      </c>
    </row>
    <row r="30" spans="1:28">
      <c r="A30" s="5" t="s">
        <v>74</v>
      </c>
      <c r="B30" s="77"/>
      <c r="C30" s="141">
        <v>845.5</v>
      </c>
      <c r="D30" s="141">
        <v>845.5</v>
      </c>
      <c r="E30" s="180">
        <v>0</v>
      </c>
      <c r="F30" s="141">
        <v>845.5</v>
      </c>
      <c r="G30" s="141">
        <v>845.5</v>
      </c>
      <c r="H30" s="141">
        <v>845.5</v>
      </c>
      <c r="I30" s="141">
        <v>845.5</v>
      </c>
      <c r="J30" s="141">
        <v>845.5</v>
      </c>
      <c r="K30" s="141">
        <v>845.5</v>
      </c>
      <c r="L30" s="141">
        <v>845.5</v>
      </c>
      <c r="M30" s="141">
        <v>845.5</v>
      </c>
      <c r="N30" s="141">
        <v>845.5</v>
      </c>
    </row>
    <row r="31" spans="1:28">
      <c r="A31" s="5" t="s">
        <v>75</v>
      </c>
      <c r="B31" s="140"/>
      <c r="C31" s="141">
        <v>832.5</v>
      </c>
      <c r="D31" s="141">
        <v>832.5</v>
      </c>
      <c r="E31" s="180">
        <v>0</v>
      </c>
      <c r="F31" s="141">
        <v>832.5</v>
      </c>
      <c r="G31" s="141">
        <v>832.5</v>
      </c>
      <c r="H31" s="141">
        <v>832.5</v>
      </c>
      <c r="I31" s="141">
        <v>832.5</v>
      </c>
      <c r="J31" s="141">
        <v>832.5</v>
      </c>
      <c r="K31" s="141">
        <v>832.5</v>
      </c>
      <c r="L31" s="141">
        <v>832.5</v>
      </c>
      <c r="M31" s="141">
        <v>832.5</v>
      </c>
      <c r="N31" s="141">
        <v>832.5</v>
      </c>
    </row>
    <row r="32" spans="1:28">
      <c r="A32" s="5" t="s">
        <v>15</v>
      </c>
      <c r="B32" s="41" t="s">
        <v>60</v>
      </c>
      <c r="C32" s="46">
        <f t="shared" ref="C32:N32" si="46">(C35-C36)*C33*C34/27</f>
        <v>90.037037037037038</v>
      </c>
      <c r="D32" s="46">
        <f t="shared" si="46"/>
        <v>56.369925925925919</v>
      </c>
      <c r="E32" s="46">
        <f t="shared" si="46"/>
        <v>46.949355555555549</v>
      </c>
      <c r="F32" s="46">
        <f t="shared" si="46"/>
        <v>73.462133333333327</v>
      </c>
      <c r="G32" s="46">
        <f t="shared" si="46"/>
        <v>63.325262962962967</v>
      </c>
      <c r="H32" s="46">
        <f t="shared" si="46"/>
        <v>63.555555555555557</v>
      </c>
      <c r="I32" s="46">
        <f t="shared" si="46"/>
        <v>63.555555555555557</v>
      </c>
      <c r="J32" s="46">
        <f t="shared" si="46"/>
        <v>63.555555555555557</v>
      </c>
      <c r="K32" s="46">
        <f t="shared" si="46"/>
        <v>58.25925925925926</v>
      </c>
      <c r="L32" s="46">
        <f t="shared" si="46"/>
        <v>74.148148148148152</v>
      </c>
      <c r="M32" s="46">
        <f t="shared" si="46"/>
        <v>74.148148148148152</v>
      </c>
      <c r="N32" s="46">
        <f t="shared" si="46"/>
        <v>75.39817037037038</v>
      </c>
      <c r="O32" s="11">
        <f>SUM(C32:N32)</f>
        <v>802.76410740740732</v>
      </c>
      <c r="P32" s="11">
        <f>C33*C34</f>
        <v>187</v>
      </c>
      <c r="Q32" s="11">
        <f t="shared" ref="Q32:V32" si="47">D33*D34</f>
        <v>117.07599999999999</v>
      </c>
      <c r="R32" s="11">
        <f t="shared" si="47"/>
        <v>97.510199999999998</v>
      </c>
      <c r="S32" s="11">
        <f t="shared" si="47"/>
        <v>152.5752</v>
      </c>
      <c r="T32" s="11">
        <f t="shared" si="47"/>
        <v>131.52170000000001</v>
      </c>
      <c r="U32" s="11">
        <f t="shared" si="47"/>
        <v>132</v>
      </c>
      <c r="V32" s="11">
        <f t="shared" si="47"/>
        <v>132</v>
      </c>
      <c r="W32" s="11">
        <f t="shared" ref="W32" si="48">J33*J34</f>
        <v>132</v>
      </c>
      <c r="X32" s="11">
        <f t="shared" ref="X32" si="49">K33*K34</f>
        <v>121</v>
      </c>
      <c r="Y32" s="11">
        <f t="shared" ref="Y32" si="50">L33*L34</f>
        <v>154</v>
      </c>
      <c r="Z32" s="11">
        <f t="shared" ref="Z32" si="51">M33*M34</f>
        <v>154</v>
      </c>
      <c r="AA32" s="11">
        <f t="shared" ref="AA32" si="52">N33*N34</f>
        <v>156.59620000000001</v>
      </c>
      <c r="AB32" s="11">
        <f>SUM(P32:AA32)</f>
        <v>1667.2792999999999</v>
      </c>
    </row>
    <row r="33" spans="1:28">
      <c r="A33" s="5" t="s">
        <v>45</v>
      </c>
      <c r="B33" s="41"/>
      <c r="C33" s="47">
        <v>187</v>
      </c>
      <c r="D33" s="47">
        <v>117.07599999999999</v>
      </c>
      <c r="E33" s="47">
        <v>97.510199999999998</v>
      </c>
      <c r="F33" s="47">
        <v>152.5752</v>
      </c>
      <c r="G33" s="47">
        <v>131.52170000000001</v>
      </c>
      <c r="H33" s="47">
        <v>12</v>
      </c>
      <c r="I33" s="47">
        <v>12</v>
      </c>
      <c r="J33" s="47">
        <v>12</v>
      </c>
      <c r="K33" s="47">
        <v>11</v>
      </c>
      <c r="L33" s="47">
        <v>14</v>
      </c>
      <c r="M33" s="47">
        <v>14</v>
      </c>
      <c r="N33" s="47">
        <v>156.59620000000001</v>
      </c>
    </row>
    <row r="34" spans="1:28">
      <c r="A34" s="5" t="s">
        <v>10</v>
      </c>
      <c r="B34" s="41"/>
      <c r="C34" s="47">
        <v>1</v>
      </c>
      <c r="D34" s="47">
        <v>1</v>
      </c>
      <c r="E34" s="47">
        <v>1</v>
      </c>
      <c r="F34" s="47">
        <v>1</v>
      </c>
      <c r="G34" s="47">
        <v>1</v>
      </c>
      <c r="H34" s="47">
        <v>11</v>
      </c>
      <c r="I34" s="47">
        <v>11</v>
      </c>
      <c r="J34" s="47">
        <v>11</v>
      </c>
      <c r="K34" s="47">
        <v>11</v>
      </c>
      <c r="L34" s="47">
        <v>11</v>
      </c>
      <c r="M34" s="47">
        <v>11</v>
      </c>
      <c r="N34" s="47">
        <v>1</v>
      </c>
    </row>
    <row r="35" spans="1:28">
      <c r="A35" s="5" t="s">
        <v>74</v>
      </c>
      <c r="B35" s="78"/>
      <c r="C35" s="139">
        <v>845.5</v>
      </c>
      <c r="D35" s="139">
        <v>845.5</v>
      </c>
      <c r="E35" s="139">
        <v>845.5</v>
      </c>
      <c r="F35" s="139">
        <v>845.5</v>
      </c>
      <c r="G35" s="139">
        <v>845.5</v>
      </c>
      <c r="H35" s="139">
        <v>845.5</v>
      </c>
      <c r="I35" s="139">
        <v>845.5</v>
      </c>
      <c r="J35" s="139">
        <v>845.5</v>
      </c>
      <c r="K35" s="139">
        <v>845.5</v>
      </c>
      <c r="L35" s="139">
        <v>845.5</v>
      </c>
      <c r="M35" s="139">
        <v>845.5</v>
      </c>
      <c r="N35" s="139">
        <v>845.5</v>
      </c>
    </row>
    <row r="36" spans="1:28">
      <c r="A36" s="5" t="s">
        <v>75</v>
      </c>
      <c r="B36" s="138"/>
      <c r="C36" s="139">
        <v>832.5</v>
      </c>
      <c r="D36" s="139">
        <v>832.5</v>
      </c>
      <c r="E36" s="139">
        <v>832.5</v>
      </c>
      <c r="F36" s="139">
        <v>832.5</v>
      </c>
      <c r="G36" s="139">
        <v>832.5</v>
      </c>
      <c r="H36" s="139">
        <v>832.5</v>
      </c>
      <c r="I36" s="139">
        <v>832.5</v>
      </c>
      <c r="J36" s="139">
        <v>832.5</v>
      </c>
      <c r="K36" s="139">
        <v>832.5</v>
      </c>
      <c r="L36" s="139">
        <v>832.5</v>
      </c>
      <c r="M36" s="139">
        <v>832.5</v>
      </c>
      <c r="N36" s="139">
        <v>832.5</v>
      </c>
    </row>
    <row r="37" spans="1:28">
      <c r="A37" s="5" t="s">
        <v>15</v>
      </c>
      <c r="B37" s="76" t="s">
        <v>61</v>
      </c>
      <c r="C37" s="48">
        <f>(C40-C41)*C38*C39/27</f>
        <v>98.222222222222229</v>
      </c>
      <c r="D37" s="48">
        <f t="shared" ref="D37:N37" si="53">(D40-D41)*D38*D39/27</f>
        <v>62.113711111111115</v>
      </c>
      <c r="E37" s="48">
        <f t="shared" si="53"/>
        <v>62.379825925925928</v>
      </c>
      <c r="F37" s="48">
        <f t="shared" si="53"/>
        <v>80.637699999999981</v>
      </c>
      <c r="G37" s="48">
        <f t="shared" si="53"/>
        <v>80.637699999999981</v>
      </c>
      <c r="H37" s="48">
        <f t="shared" si="53"/>
        <v>69.333333333333329</v>
      </c>
      <c r="I37" s="48">
        <f t="shared" si="53"/>
        <v>69.333333333333329</v>
      </c>
      <c r="J37" s="48">
        <f t="shared" si="53"/>
        <v>69.333333333333329</v>
      </c>
      <c r="K37" s="48">
        <f t="shared" si="53"/>
        <v>63.555555555555557</v>
      </c>
      <c r="L37" s="48">
        <f t="shared" si="53"/>
        <v>80.888888888888886</v>
      </c>
      <c r="M37" s="48">
        <f t="shared" si="53"/>
        <v>80.888888888888886</v>
      </c>
      <c r="N37" s="48">
        <f t="shared" si="53"/>
        <v>76.373459259259263</v>
      </c>
      <c r="O37" s="11">
        <f>SUM(C37:N37)</f>
        <v>893.69795185185183</v>
      </c>
      <c r="P37" s="11">
        <f>C38*C39</f>
        <v>204</v>
      </c>
      <c r="Q37" s="11">
        <f t="shared" ref="Q37:V37" si="54">D38*D39</f>
        <v>129.00540000000001</v>
      </c>
      <c r="R37" s="11">
        <f t="shared" si="54"/>
        <v>129.5581</v>
      </c>
      <c r="S37" s="11">
        <f t="shared" si="54"/>
        <v>167.47829999999999</v>
      </c>
      <c r="T37" s="11">
        <f t="shared" si="54"/>
        <v>167.47829999999999</v>
      </c>
      <c r="U37" s="11">
        <f t="shared" si="54"/>
        <v>144</v>
      </c>
      <c r="V37" s="11">
        <f t="shared" si="54"/>
        <v>144</v>
      </c>
      <c r="W37" s="11">
        <f t="shared" ref="W37" si="55">J38*J39</f>
        <v>144</v>
      </c>
      <c r="X37" s="11">
        <f t="shared" ref="X37" si="56">K38*K39</f>
        <v>132</v>
      </c>
      <c r="Y37" s="11">
        <f t="shared" ref="Y37" si="57">L38*L39</f>
        <v>168</v>
      </c>
      <c r="Z37" s="11">
        <f t="shared" ref="Z37" si="58">M38*M39</f>
        <v>168</v>
      </c>
      <c r="AA37" s="11">
        <f t="shared" ref="AA37" si="59">N38*N39</f>
        <v>158.62180000000001</v>
      </c>
      <c r="AB37" s="11">
        <f>SUM(P37:AA37)</f>
        <v>1856.1419000000001</v>
      </c>
    </row>
    <row r="38" spans="1:28">
      <c r="A38" s="5" t="s">
        <v>45</v>
      </c>
      <c r="B38" s="76"/>
      <c r="C38" s="49">
        <v>204</v>
      </c>
      <c r="D38" s="49">
        <v>129.00540000000001</v>
      </c>
      <c r="E38" s="49">
        <v>129.5581</v>
      </c>
      <c r="F38" s="49">
        <v>167.47829999999999</v>
      </c>
      <c r="G38" s="49">
        <v>167.47829999999999</v>
      </c>
      <c r="H38" s="49">
        <v>12</v>
      </c>
      <c r="I38" s="49">
        <v>12</v>
      </c>
      <c r="J38" s="49">
        <v>12</v>
      </c>
      <c r="K38" s="49">
        <v>11</v>
      </c>
      <c r="L38" s="49">
        <v>14</v>
      </c>
      <c r="M38" s="49">
        <v>14</v>
      </c>
      <c r="N38" s="49">
        <v>158.62180000000001</v>
      </c>
    </row>
    <row r="39" spans="1:28">
      <c r="A39" s="5" t="s">
        <v>10</v>
      </c>
      <c r="B39" s="76"/>
      <c r="C39" s="49">
        <v>1</v>
      </c>
      <c r="D39" s="49">
        <v>1</v>
      </c>
      <c r="E39" s="49">
        <v>1</v>
      </c>
      <c r="F39" s="49">
        <v>1</v>
      </c>
      <c r="G39" s="49">
        <v>1</v>
      </c>
      <c r="H39" s="49">
        <v>12</v>
      </c>
      <c r="I39" s="49">
        <v>12</v>
      </c>
      <c r="J39" s="49">
        <v>12</v>
      </c>
      <c r="K39" s="49">
        <v>12</v>
      </c>
      <c r="L39" s="49">
        <v>12</v>
      </c>
      <c r="M39" s="49">
        <v>12</v>
      </c>
      <c r="N39" s="49">
        <v>1</v>
      </c>
    </row>
    <row r="40" spans="1:28">
      <c r="A40" s="5" t="s">
        <v>74</v>
      </c>
      <c r="B40" s="77"/>
      <c r="C40" s="141">
        <v>845.5</v>
      </c>
      <c r="D40" s="141">
        <v>845.5</v>
      </c>
      <c r="E40" s="141">
        <v>845.5</v>
      </c>
      <c r="F40" s="141">
        <v>845.5</v>
      </c>
      <c r="G40" s="141">
        <v>845.5</v>
      </c>
      <c r="H40" s="141">
        <v>845.5</v>
      </c>
      <c r="I40" s="141">
        <v>845.5</v>
      </c>
      <c r="J40" s="141">
        <v>845.5</v>
      </c>
      <c r="K40" s="141">
        <v>845.5</v>
      </c>
      <c r="L40" s="141">
        <v>845.5</v>
      </c>
      <c r="M40" s="141">
        <v>845.5</v>
      </c>
      <c r="N40" s="141">
        <v>845.5</v>
      </c>
    </row>
    <row r="41" spans="1:28">
      <c r="A41" s="5" t="s">
        <v>75</v>
      </c>
      <c r="B41" s="140"/>
      <c r="C41" s="141">
        <v>832.5</v>
      </c>
      <c r="D41" s="141">
        <v>832.5</v>
      </c>
      <c r="E41" s="141">
        <v>832.5</v>
      </c>
      <c r="F41" s="141">
        <v>832.5</v>
      </c>
      <c r="G41" s="141">
        <v>832.5</v>
      </c>
      <c r="H41" s="141">
        <v>832.5</v>
      </c>
      <c r="I41" s="141">
        <v>832.5</v>
      </c>
      <c r="J41" s="141">
        <v>832.5</v>
      </c>
      <c r="K41" s="141">
        <v>832.5</v>
      </c>
      <c r="L41" s="141">
        <v>832.5</v>
      </c>
      <c r="M41" s="141">
        <v>832.5</v>
      </c>
      <c r="N41" s="141">
        <v>832.5</v>
      </c>
    </row>
    <row r="42" spans="1:28">
      <c r="A42" s="5" t="s">
        <v>15</v>
      </c>
      <c r="B42" s="41" t="s">
        <v>62</v>
      </c>
      <c r="C42" s="46">
        <f t="shared" ref="C42:N42" si="60">(C45-C46)*C43*C44/27</f>
        <v>98.222222222222229</v>
      </c>
      <c r="D42" s="46">
        <f t="shared" si="60"/>
        <v>62.759859259259258</v>
      </c>
      <c r="E42" s="46">
        <f t="shared" si="60"/>
        <v>74.551725925925922</v>
      </c>
      <c r="F42" s="46">
        <f t="shared" si="60"/>
        <v>86.666666666666671</v>
      </c>
      <c r="G42" s="46">
        <f t="shared" si="60"/>
        <v>86.666666666666671</v>
      </c>
      <c r="H42" s="46">
        <f t="shared" si="60"/>
        <v>69.333333333333329</v>
      </c>
      <c r="I42" s="46">
        <f t="shared" si="60"/>
        <v>69.333333333333329</v>
      </c>
      <c r="J42" s="46">
        <f t="shared" si="60"/>
        <v>69.333333333333329</v>
      </c>
      <c r="K42" s="46">
        <f t="shared" si="60"/>
        <v>63.555555555555557</v>
      </c>
      <c r="L42" s="46">
        <f t="shared" si="60"/>
        <v>80.888888888888886</v>
      </c>
      <c r="M42" s="46">
        <f t="shared" si="60"/>
        <v>80.888888888888886</v>
      </c>
      <c r="N42" s="46">
        <f t="shared" si="60"/>
        <v>70.238759259259268</v>
      </c>
      <c r="O42" s="11">
        <f>SUM(C42:N42)</f>
        <v>912.43923333333339</v>
      </c>
      <c r="P42" s="11">
        <f>C43*C44</f>
        <v>204</v>
      </c>
      <c r="Q42" s="11">
        <f t="shared" ref="Q42:V42" si="61">D43*D44</f>
        <v>130.34739999999999</v>
      </c>
      <c r="R42" s="11">
        <f t="shared" si="61"/>
        <v>154.8382</v>
      </c>
      <c r="S42" s="11">
        <f t="shared" si="61"/>
        <v>180</v>
      </c>
      <c r="T42" s="11">
        <f t="shared" si="61"/>
        <v>180</v>
      </c>
      <c r="U42" s="11">
        <f t="shared" si="61"/>
        <v>144</v>
      </c>
      <c r="V42" s="11">
        <f t="shared" si="61"/>
        <v>144</v>
      </c>
      <c r="W42" s="11">
        <f t="shared" ref="W42" si="62">J43*J44</f>
        <v>144</v>
      </c>
      <c r="X42" s="11">
        <f t="shared" ref="X42" si="63">K43*K44</f>
        <v>132</v>
      </c>
      <c r="Y42" s="11">
        <f t="shared" ref="Y42" si="64">L43*L44</f>
        <v>168</v>
      </c>
      <c r="Z42" s="11">
        <f t="shared" ref="Z42" si="65">M43*M44</f>
        <v>168</v>
      </c>
      <c r="AA42" s="11">
        <f t="shared" ref="AA42" si="66">N43*N44</f>
        <v>145.88050000000001</v>
      </c>
      <c r="AB42" s="11">
        <f>SUM(P42:AA42)</f>
        <v>1895.0661</v>
      </c>
    </row>
    <row r="43" spans="1:28">
      <c r="A43" s="5" t="s">
        <v>45</v>
      </c>
      <c r="B43" s="41"/>
      <c r="C43" s="47">
        <v>204</v>
      </c>
      <c r="D43" s="47">
        <v>130.34739999999999</v>
      </c>
      <c r="E43" s="47">
        <v>154.8382</v>
      </c>
      <c r="F43" s="47">
        <v>15</v>
      </c>
      <c r="G43" s="47">
        <v>15</v>
      </c>
      <c r="H43" s="47">
        <v>12</v>
      </c>
      <c r="I43" s="47">
        <v>12</v>
      </c>
      <c r="J43" s="47">
        <v>12</v>
      </c>
      <c r="K43" s="47">
        <v>11</v>
      </c>
      <c r="L43" s="47">
        <v>14</v>
      </c>
      <c r="M43" s="47">
        <v>14</v>
      </c>
      <c r="N43" s="47">
        <v>145.88050000000001</v>
      </c>
    </row>
    <row r="44" spans="1:28">
      <c r="A44" s="5" t="s">
        <v>10</v>
      </c>
      <c r="B44" s="41"/>
      <c r="C44" s="47">
        <v>1</v>
      </c>
      <c r="D44" s="47">
        <v>1</v>
      </c>
      <c r="E44" s="47">
        <v>1</v>
      </c>
      <c r="F44" s="47">
        <v>12</v>
      </c>
      <c r="G44" s="47">
        <v>12</v>
      </c>
      <c r="H44" s="47">
        <v>12</v>
      </c>
      <c r="I44" s="47">
        <v>12</v>
      </c>
      <c r="J44" s="47">
        <v>12</v>
      </c>
      <c r="K44" s="47">
        <v>12</v>
      </c>
      <c r="L44" s="47">
        <v>12</v>
      </c>
      <c r="M44" s="47">
        <v>12</v>
      </c>
      <c r="N44" s="47">
        <v>1</v>
      </c>
    </row>
    <row r="45" spans="1:28">
      <c r="A45" s="5" t="s">
        <v>74</v>
      </c>
      <c r="B45" s="78"/>
      <c r="C45" s="139">
        <v>845.5</v>
      </c>
      <c r="D45" s="139">
        <v>845.5</v>
      </c>
      <c r="E45" s="139">
        <v>845.5</v>
      </c>
      <c r="F45" s="139">
        <v>845.5</v>
      </c>
      <c r="G45" s="139">
        <v>845.5</v>
      </c>
      <c r="H45" s="139">
        <v>845.5</v>
      </c>
      <c r="I45" s="139">
        <v>845.5</v>
      </c>
      <c r="J45" s="139">
        <v>845.5</v>
      </c>
      <c r="K45" s="139">
        <v>845.5</v>
      </c>
      <c r="L45" s="139">
        <v>845.5</v>
      </c>
      <c r="M45" s="139">
        <v>845.5</v>
      </c>
      <c r="N45" s="139">
        <v>845.5</v>
      </c>
    </row>
    <row r="46" spans="1:28">
      <c r="A46" s="5" t="s">
        <v>75</v>
      </c>
      <c r="B46" s="138"/>
      <c r="C46" s="139">
        <v>832.5</v>
      </c>
      <c r="D46" s="139">
        <v>832.5</v>
      </c>
      <c r="E46" s="139">
        <v>832.5</v>
      </c>
      <c r="F46" s="139">
        <v>832.5</v>
      </c>
      <c r="G46" s="139">
        <v>832.5</v>
      </c>
      <c r="H46" s="139">
        <v>832.5</v>
      </c>
      <c r="I46" s="139">
        <v>832.5</v>
      </c>
      <c r="J46" s="139">
        <v>832.5</v>
      </c>
      <c r="K46" s="139">
        <v>832.5</v>
      </c>
      <c r="L46" s="139">
        <v>832.5</v>
      </c>
      <c r="M46" s="139">
        <v>832.5</v>
      </c>
      <c r="N46" s="139">
        <v>832.5</v>
      </c>
    </row>
    <row r="47" spans="1:28">
      <c r="A47" s="5" t="s">
        <v>15</v>
      </c>
      <c r="B47" s="76" t="s">
        <v>63</v>
      </c>
      <c r="C47" s="48">
        <f>(C50-C51)*C48*C49/27</f>
        <v>98.222222222222229</v>
      </c>
      <c r="D47" s="48">
        <f t="shared" ref="D47:N47" si="67">(D50-D51)*D48*D49/27</f>
        <v>75.52094814814815</v>
      </c>
      <c r="E47" s="48">
        <f t="shared" si="67"/>
        <v>86.666666666666671</v>
      </c>
      <c r="F47" s="48">
        <f>(F50-F51)*R47/27</f>
        <v>66.444444444444443</v>
      </c>
      <c r="G47" s="48">
        <f>(G50-G51)*S47/27</f>
        <v>95.333333333333329</v>
      </c>
      <c r="H47" s="48">
        <f t="shared" si="67"/>
        <v>69.333333333333329</v>
      </c>
      <c r="I47" s="48">
        <f t="shared" si="67"/>
        <v>69.066833333333321</v>
      </c>
      <c r="J47" s="48">
        <f t="shared" si="67"/>
        <v>67.50481111111111</v>
      </c>
      <c r="K47" s="48">
        <f t="shared" si="67"/>
        <v>60.356062962962966</v>
      </c>
      <c r="L47" s="48">
        <f t="shared" si="67"/>
        <v>74.709314814814817</v>
      </c>
      <c r="M47" s="48">
        <f t="shared" si="67"/>
        <v>72.348948148148153</v>
      </c>
      <c r="N47" s="48">
        <f t="shared" si="67"/>
        <v>56.035392592592594</v>
      </c>
      <c r="O47" s="11">
        <f>SUM(C47:N47)</f>
        <v>891.54231111111108</v>
      </c>
      <c r="P47" s="11">
        <f>C48*C49</f>
        <v>204</v>
      </c>
      <c r="Q47" s="11">
        <f t="shared" ref="Q47:V47" si="68">D48*D49</f>
        <v>156.85120000000001</v>
      </c>
      <c r="R47" s="11">
        <f>(E48*E49)-42</f>
        <v>138</v>
      </c>
      <c r="S47" s="11">
        <f>(F48*F49)+18</f>
        <v>198</v>
      </c>
      <c r="T47" s="11">
        <f t="shared" si="68"/>
        <v>180</v>
      </c>
      <c r="U47" s="11">
        <f t="shared" si="68"/>
        <v>144</v>
      </c>
      <c r="V47" s="11">
        <f t="shared" si="68"/>
        <v>143.44649999999999</v>
      </c>
      <c r="W47" s="11">
        <f t="shared" ref="W47" si="69">J48*J49</f>
        <v>140.20230000000001</v>
      </c>
      <c r="X47" s="11">
        <f t="shared" ref="X47" si="70">K48*K49</f>
        <v>125.3549</v>
      </c>
      <c r="Y47" s="11">
        <f t="shared" ref="Y47" si="71">L48*L49</f>
        <v>155.16550000000001</v>
      </c>
      <c r="Z47" s="11">
        <f t="shared" ref="Z47" si="72">M48*M49</f>
        <v>150.26320000000001</v>
      </c>
      <c r="AA47" s="11">
        <f t="shared" ref="AA47" si="73">N48*N49</f>
        <v>116.38120000000001</v>
      </c>
      <c r="AB47" s="11">
        <f>SUM(P47:AA47)</f>
        <v>1851.6648000000002</v>
      </c>
    </row>
    <row r="48" spans="1:28">
      <c r="A48" s="5" t="s">
        <v>45</v>
      </c>
      <c r="B48" s="76"/>
      <c r="C48" s="49">
        <v>204</v>
      </c>
      <c r="D48" s="49">
        <v>156.85120000000001</v>
      </c>
      <c r="E48" s="49">
        <v>15</v>
      </c>
      <c r="F48" s="49">
        <v>15</v>
      </c>
      <c r="G48" s="49">
        <v>15</v>
      </c>
      <c r="H48" s="49">
        <v>12</v>
      </c>
      <c r="I48" s="49">
        <v>143.44649999999999</v>
      </c>
      <c r="J48" s="49">
        <v>140.20230000000001</v>
      </c>
      <c r="K48" s="49">
        <v>125.3549</v>
      </c>
      <c r="L48" s="49">
        <v>155.16550000000001</v>
      </c>
      <c r="M48" s="49">
        <v>150.26320000000001</v>
      </c>
      <c r="N48" s="49">
        <v>116.38120000000001</v>
      </c>
    </row>
    <row r="49" spans="1:29">
      <c r="A49" s="5" t="s">
        <v>10</v>
      </c>
      <c r="B49" s="76"/>
      <c r="C49" s="49">
        <v>1</v>
      </c>
      <c r="D49" s="49">
        <v>1</v>
      </c>
      <c r="E49" s="49">
        <v>12</v>
      </c>
      <c r="F49" s="49">
        <v>12</v>
      </c>
      <c r="G49" s="49">
        <v>12</v>
      </c>
      <c r="H49" s="49">
        <v>12</v>
      </c>
      <c r="I49" s="49">
        <v>1</v>
      </c>
      <c r="J49" s="49">
        <v>1</v>
      </c>
      <c r="K49" s="49">
        <v>1</v>
      </c>
      <c r="L49" s="49">
        <v>1</v>
      </c>
      <c r="M49" s="49">
        <v>1</v>
      </c>
      <c r="N49" s="49">
        <v>1</v>
      </c>
    </row>
    <row r="50" spans="1:29">
      <c r="A50" s="5" t="s">
        <v>74</v>
      </c>
      <c r="B50" s="77"/>
      <c r="C50" s="141">
        <v>845.5</v>
      </c>
      <c r="D50" s="141">
        <v>845.5</v>
      </c>
      <c r="E50" s="141">
        <v>845.5</v>
      </c>
      <c r="F50" s="141">
        <v>845.5</v>
      </c>
      <c r="G50" s="141">
        <v>845.5</v>
      </c>
      <c r="H50" s="141">
        <v>845.5</v>
      </c>
      <c r="I50" s="141">
        <v>845.5</v>
      </c>
      <c r="J50" s="141">
        <v>845.5</v>
      </c>
      <c r="K50" s="141">
        <v>845.5</v>
      </c>
      <c r="L50" s="141">
        <v>845.5</v>
      </c>
      <c r="M50" s="141">
        <v>845.5</v>
      </c>
      <c r="N50" s="141">
        <v>845.5</v>
      </c>
    </row>
    <row r="51" spans="1:29">
      <c r="A51" s="5" t="s">
        <v>75</v>
      </c>
      <c r="B51" s="140"/>
      <c r="C51" s="141">
        <v>832.5</v>
      </c>
      <c r="D51" s="141">
        <v>832.5</v>
      </c>
      <c r="E51" s="141">
        <v>832.5</v>
      </c>
      <c r="F51" s="141">
        <v>832.5</v>
      </c>
      <c r="G51" s="141">
        <v>832.5</v>
      </c>
      <c r="H51" s="141">
        <v>832.5</v>
      </c>
      <c r="I51" s="141">
        <v>832.5</v>
      </c>
      <c r="J51" s="141">
        <v>832.5</v>
      </c>
      <c r="K51" s="141">
        <v>832.5</v>
      </c>
      <c r="L51" s="141">
        <v>832.5</v>
      </c>
      <c r="M51" s="141">
        <v>832.5</v>
      </c>
      <c r="N51" s="141">
        <v>832.5</v>
      </c>
    </row>
    <row r="52" spans="1:29">
      <c r="O52" s="13"/>
      <c r="AC52" s="11"/>
    </row>
    <row r="53" spans="1:29">
      <c r="D53" s="13"/>
      <c r="E53" s="13"/>
      <c r="F53" s="13"/>
      <c r="G53" s="13"/>
      <c r="H53" s="13"/>
    </row>
  </sheetData>
  <phoneticPr fontId="1" type="noConversion"/>
  <pageMargins left="0.75" right="0.75" top="1" bottom="1" header="0.5" footer="0.5"/>
  <pageSetup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S36"/>
  <sheetViews>
    <sheetView tabSelected="1" workbookViewId="0">
      <selection activeCell="K31" sqref="K31"/>
    </sheetView>
  </sheetViews>
  <sheetFormatPr defaultRowHeight="15.75"/>
  <cols>
    <col min="1" max="1" width="7.7109375" style="1" bestFit="1" customWidth="1"/>
    <col min="2" max="2" width="4.5703125" style="1" bestFit="1" customWidth="1"/>
    <col min="3" max="4" width="9" style="1" bestFit="1" customWidth="1"/>
    <col min="5" max="9" width="8.42578125" style="1" bestFit="1" customWidth="1"/>
    <col min="10" max="14" width="7.5703125" style="1" customWidth="1"/>
    <col min="15" max="15" width="11.5703125" style="1" bestFit="1" customWidth="1"/>
    <col min="16" max="16" width="8.42578125" style="1" customWidth="1"/>
    <col min="17" max="16384" width="9.140625" style="1"/>
  </cols>
  <sheetData>
    <row r="1" spans="1:18" ht="16.5" thickBot="1">
      <c r="A1" s="116"/>
      <c r="B1" s="117" t="s">
        <v>70</v>
      </c>
      <c r="C1" s="143" t="s">
        <v>47</v>
      </c>
      <c r="D1" s="143" t="s">
        <v>48</v>
      </c>
      <c r="E1" s="143" t="s">
        <v>49</v>
      </c>
      <c r="F1" s="143" t="s">
        <v>50</v>
      </c>
      <c r="G1" s="143" t="s">
        <v>51</v>
      </c>
      <c r="H1" s="143" t="s">
        <v>52</v>
      </c>
      <c r="I1" s="143" t="s">
        <v>53</v>
      </c>
      <c r="J1" s="143" t="s">
        <v>80</v>
      </c>
      <c r="K1" s="143" t="s">
        <v>81</v>
      </c>
      <c r="L1" s="143" t="s">
        <v>82</v>
      </c>
      <c r="M1" s="143" t="s">
        <v>83</v>
      </c>
      <c r="N1" s="143" t="s">
        <v>84</v>
      </c>
      <c r="O1" s="144">
        <f>SUM(O2:O21)</f>
        <v>1007712.9067199999</v>
      </c>
      <c r="P1" s="145">
        <f>SUM(P2:P94)</f>
        <v>140495.38448505595</v>
      </c>
    </row>
    <row r="2" spans="1:18">
      <c r="A2" s="91" t="s">
        <v>68</v>
      </c>
      <c r="B2" s="146">
        <v>1</v>
      </c>
      <c r="C2" s="92">
        <f>'Yd3'!C2*'Mix Design'!$O$3</f>
        <v>12104.695199999998</v>
      </c>
      <c r="D2" s="92">
        <f>'Yd3'!D2*'Mix Design'!$O$3</f>
        <v>12282.5352</v>
      </c>
      <c r="E2" s="92">
        <f>'Yd3'!E2*'Mix Design'!$O$3</f>
        <v>0</v>
      </c>
      <c r="F2" s="92">
        <f>'Yd3'!F2*'Mix Design'!$O$3</f>
        <v>0</v>
      </c>
      <c r="G2" s="92">
        <f>'Yd3'!G2*'Mix Design'!$O$3</f>
        <v>0</v>
      </c>
      <c r="H2" s="92">
        <f>'Yd3'!H2*'Mix Design'!$O$3</f>
        <v>15197.002079999998</v>
      </c>
      <c r="I2" s="92">
        <f>'Yd3'!I2*'Mix Design'!$O$3</f>
        <v>11675.801279999998</v>
      </c>
      <c r="J2" s="92">
        <f>'Yd3'!J2*'Mix Design'!$O$3</f>
        <v>11284.191359999999</v>
      </c>
      <c r="K2" s="92">
        <f>'Yd3'!K2*'Mix Design'!$O$3</f>
        <v>9999.8246399999989</v>
      </c>
      <c r="L2" s="92">
        <f>'Yd3'!L2*'Mix Design'!$O$3</f>
        <v>12251.129280000001</v>
      </c>
      <c r="M2" s="92">
        <f>'Yd3'!M2*'Mix Design'!$O$3</f>
        <v>11718.108479999999</v>
      </c>
      <c r="N2" s="92">
        <f>'Yd3'!N2*'Mix Design'!$O$3</f>
        <v>10993.082879999998</v>
      </c>
      <c r="O2" s="118">
        <f>SUM(C2:N2)</f>
        <v>107506.37039999999</v>
      </c>
      <c r="P2" s="119"/>
      <c r="Q2" s="13"/>
      <c r="R2" s="13"/>
    </row>
    <row r="3" spans="1:18" ht="16.5" thickBot="1">
      <c r="A3" s="94" t="s">
        <v>42</v>
      </c>
      <c r="B3" s="148"/>
      <c r="C3" s="95">
        <f>'ISCO Cell Qt''ys'!C5</f>
        <v>1599.4395484280826</v>
      </c>
      <c r="D3" s="95">
        <f>'ISCO Cell Qt''ys'!D5</f>
        <v>1622.9382259736728</v>
      </c>
      <c r="E3" s="95">
        <f>'ISCO Cell Qt''ys'!E5</f>
        <v>0</v>
      </c>
      <c r="F3" s="95">
        <f>'ISCO Cell Qt''ys'!F5</f>
        <v>0</v>
      </c>
      <c r="G3" s="95">
        <f>'ISCO Cell Qt''ys'!G5</f>
        <v>0</v>
      </c>
      <c r="H3" s="95">
        <f>'ISCO Cell Qt''ys'!H5</f>
        <v>2008.0378516508069</v>
      </c>
      <c r="I3" s="95">
        <f>'ISCO Cell Qt''ys'!I5</f>
        <v>1542.7681588231342</v>
      </c>
      <c r="J3" s="95">
        <f>'ISCO Cell Qt''ys'!J5</f>
        <v>1491.0232463527436</v>
      </c>
      <c r="K3" s="95">
        <f>'ISCO Cell Qt''ys'!K5</f>
        <v>1321.3149726034917</v>
      </c>
      <c r="L3" s="95">
        <f>'ISCO Cell Qt''ys'!L5</f>
        <v>1618.788441970622</v>
      </c>
      <c r="M3" s="95">
        <f>'ISCO Cell Qt''ys'!M5</f>
        <v>1548.35837053398</v>
      </c>
      <c r="N3" s="95">
        <f>'ISCO Cell Qt''ys'!N5</f>
        <v>1452.5579724981169</v>
      </c>
      <c r="O3" s="118"/>
      <c r="P3" s="119">
        <f>SUM(C3:N3)</f>
        <v>14205.226788834652</v>
      </c>
      <c r="R3" s="13"/>
    </row>
    <row r="4" spans="1:18">
      <c r="A4" s="91" t="s">
        <v>68</v>
      </c>
      <c r="B4" s="147">
        <v>2</v>
      </c>
      <c r="C4" s="92">
        <f>'Yd3'!C7*'Mix Design'!$O$3</f>
        <v>12216.622080000001</v>
      </c>
      <c r="D4" s="92">
        <f>'Yd3'!D7*'Mix Design'!$O$3</f>
        <v>7812.2179199999991</v>
      </c>
      <c r="E4" s="92">
        <f>'Yd3'!E7*'Mix Design'!$O$3</f>
        <v>0</v>
      </c>
      <c r="F4" s="92">
        <f>'Yd3'!F7*'Mix Design'!$O$3</f>
        <v>0</v>
      </c>
      <c r="G4" s="92">
        <f>'Yd3'!G7*'Mix Design'!$O$3</f>
        <v>6266.5262400000001</v>
      </c>
      <c r="H4" s="92">
        <f>'Yd3'!H7*'Mix Design'!$O$3</f>
        <v>8985.5999999999985</v>
      </c>
      <c r="I4" s="92">
        <f>'Yd3'!I7*'Mix Design'!$O$3</f>
        <v>8985.5999999999985</v>
      </c>
      <c r="J4" s="92">
        <f>'Yd3'!J7*'Mix Design'!$O$3</f>
        <v>8985.5999999999985</v>
      </c>
      <c r="K4" s="92">
        <f>'Yd3'!K7*'Mix Design'!$O$3</f>
        <v>8236.7999999999993</v>
      </c>
      <c r="L4" s="92">
        <f>'Yd3'!L7*'Mix Design'!$O$3</f>
        <v>10483.199999999999</v>
      </c>
      <c r="M4" s="92">
        <f>'Yd3'!M7*'Mix Design'!$O$3</f>
        <v>10483.199999999999</v>
      </c>
      <c r="N4" s="92">
        <f>'Yd3'!N7*'Mix Design'!$O$3</f>
        <v>11001.51936</v>
      </c>
      <c r="O4" s="118">
        <f>SUM(C4:N4)</f>
        <v>93456.885599999994</v>
      </c>
      <c r="P4" s="119"/>
      <c r="R4" s="13"/>
    </row>
    <row r="5" spans="1:18" ht="16.5" thickBot="1">
      <c r="A5" s="94" t="s">
        <v>42</v>
      </c>
      <c r="B5" s="148"/>
      <c r="C5" s="95">
        <f>'ISCO Cell Qt''ys'!C9</f>
        <v>1614.228874011776</v>
      </c>
      <c r="D5" s="95">
        <f>'ISCO Cell Qt''ys'!D9</f>
        <v>1032.2581523726906</v>
      </c>
      <c r="E5" s="95">
        <f>'ISCO Cell Qt''ys'!E9</f>
        <v>0</v>
      </c>
      <c r="F5" s="95">
        <f>'ISCO Cell Qt''ys'!F9</f>
        <v>0</v>
      </c>
      <c r="G5" s="95">
        <f>'ISCO Cell Qt''ys'!G9</f>
        <v>828.02001487144696</v>
      </c>
      <c r="H5" s="95">
        <f>'ISCO Cell Qt''ys'!H9</f>
        <v>1187.3016023034913</v>
      </c>
      <c r="I5" s="95">
        <f>'ISCO Cell Qt''ys'!I9</f>
        <v>1187.3016023034913</v>
      </c>
      <c r="J5" s="95">
        <f>'ISCO Cell Qt''ys'!J9</f>
        <v>1187.3016023034913</v>
      </c>
      <c r="K5" s="95">
        <f>'ISCO Cell Qt''ys'!K9</f>
        <v>1088.3598021115338</v>
      </c>
      <c r="L5" s="95">
        <f>'ISCO Cell Qt''ys'!L9</f>
        <v>1385.1852026874067</v>
      </c>
      <c r="M5" s="95">
        <f>'ISCO Cell Qt''ys'!M9</f>
        <v>1385.1852026874067</v>
      </c>
      <c r="N5" s="95">
        <f>'ISCO Cell Qt''ys'!N9</f>
        <v>1453.6727167802796</v>
      </c>
      <c r="O5" s="118"/>
      <c r="P5" s="119">
        <f>SUM(C5:N5)</f>
        <v>12348.814772433017</v>
      </c>
    </row>
    <row r="6" spans="1:18">
      <c r="A6" s="91" t="s">
        <v>68</v>
      </c>
      <c r="B6" s="147">
        <v>3</v>
      </c>
      <c r="C6" s="92">
        <f>'Yd3'!C12*'Mix Design'!$O$3</f>
        <v>9837.37248</v>
      </c>
      <c r="D6" s="92">
        <f>'Yd3'!D12*'Mix Design'!$O$3</f>
        <v>8532.270239999998</v>
      </c>
      <c r="E6" s="92">
        <f>'Yd3'!E12*'Mix Design'!$O$3</f>
        <v>0</v>
      </c>
      <c r="F6" s="92">
        <f>'Yd3'!F12*'Mix Design'!$O$3</f>
        <v>0</v>
      </c>
      <c r="G6" s="92">
        <f>'Yd3'!G12*'Mix Design'!$O$3</f>
        <v>7789.1486399999994</v>
      </c>
      <c r="H6" s="181">
        <f>'Yd3'!H12*'Mix Design'!$O$3</f>
        <v>7488</v>
      </c>
      <c r="I6" s="181">
        <f>'Yd3'!I12*'Mix Design'!$O$3</f>
        <v>7488</v>
      </c>
      <c r="J6" s="181">
        <f>'Yd3'!J12*'Mix Design'!$O$3</f>
        <v>7488</v>
      </c>
      <c r="K6" s="181">
        <f>'Yd3'!K12*'Mix Design'!$O$3</f>
        <v>6864</v>
      </c>
      <c r="L6" s="92">
        <f>'Yd3'!L12*'Mix Design'!$O$3</f>
        <v>8736</v>
      </c>
      <c r="M6" s="92">
        <f>'Yd3'!M12*'Mix Design'!$O$3</f>
        <v>8736</v>
      </c>
      <c r="N6" s="92">
        <f>'Yd3'!N12*'Mix Design'!$O$3</f>
        <v>9693.2534400000004</v>
      </c>
      <c r="O6" s="118">
        <f>SUM(C6:N6)</f>
        <v>82652.044800000003</v>
      </c>
      <c r="P6" s="119"/>
      <c r="R6" s="13"/>
    </row>
    <row r="7" spans="1:18" ht="16.5" thickBot="1">
      <c r="A7" s="94" t="s">
        <v>42</v>
      </c>
      <c r="B7" s="148"/>
      <c r="C7" s="95">
        <f>'ISCO Cell Qt''ys'!C13</f>
        <v>1299.8495490518465</v>
      </c>
      <c r="D7" s="95">
        <f>'ISCO Cell Qt''ys'!D13</f>
        <v>1127.4014119522785</v>
      </c>
      <c r="E7" s="95">
        <f>'ISCO Cell Qt''ys'!E13</f>
        <v>0</v>
      </c>
      <c r="F7" s="95">
        <f>'ISCO Cell Qt''ys'!F13</f>
        <v>0</v>
      </c>
      <c r="G7" s="95">
        <f>'ISCO Cell Qt''ys'!G13</f>
        <v>1029.2099204117767</v>
      </c>
      <c r="H7" s="95">
        <f>'ISCO Cell Qt''ys'!H13</f>
        <v>1520.1963880470496</v>
      </c>
      <c r="I7" s="95">
        <f>'ISCO Cell Qt''ys'!I13</f>
        <v>1520.1963880470496</v>
      </c>
      <c r="J7" s="95">
        <f>'ISCO Cell Qt''ys'!J13</f>
        <v>1520.1963880470496</v>
      </c>
      <c r="K7" s="95">
        <f>'ISCO Cell Qt''ys'!K13</f>
        <v>1393.5133557097954</v>
      </c>
      <c r="L7" s="95">
        <f>'ISCO Cell Qt''ys'!L13</f>
        <v>1154.3210022395056</v>
      </c>
      <c r="M7" s="95">
        <f>'ISCO Cell Qt''ys'!M13</f>
        <v>1154.3210022395056</v>
      </c>
      <c r="N7" s="95">
        <f>'ISCO Cell Qt''ys'!N13</f>
        <v>1280.8065505749009</v>
      </c>
      <c r="O7" s="118"/>
      <c r="P7" s="119">
        <f>SUM(C7:N7)</f>
        <v>13000.011956320755</v>
      </c>
      <c r="R7" s="13"/>
    </row>
    <row r="8" spans="1:18">
      <c r="A8" s="91" t="s">
        <v>68</v>
      </c>
      <c r="B8" s="147">
        <v>4</v>
      </c>
      <c r="C8" s="93">
        <f>'Yd3'!C17*'Mix Design'!$O$3</f>
        <v>9525.4223999999995</v>
      </c>
      <c r="D8" s="93">
        <f>'Yd3'!D17*'Mix Design'!$O$3</f>
        <v>10370.530559999999</v>
      </c>
      <c r="E8" s="93">
        <f>'Yd3'!E17*'Mix Design'!$O$3</f>
        <v>0</v>
      </c>
      <c r="F8" s="93">
        <f>'Yd3'!F17*'Mix Design'!$O$3</f>
        <v>0</v>
      </c>
      <c r="G8" s="93">
        <f>'Yd3'!G17*'Mix Design'!$O$3</f>
        <v>10122.82128</v>
      </c>
      <c r="H8" s="182">
        <f>'Yd3'!H17*'Mix Design'!$O$3</f>
        <v>7488</v>
      </c>
      <c r="I8" s="182">
        <f>'Yd3'!I17*'Mix Design'!$O$3</f>
        <v>7488</v>
      </c>
      <c r="J8" s="182">
        <f>'Yd3'!J17*'Mix Design'!$O$3</f>
        <v>7488</v>
      </c>
      <c r="K8" s="182">
        <f>'Yd3'!K17*'Mix Design'!$O$3</f>
        <v>6864</v>
      </c>
      <c r="L8" s="93">
        <f>'Yd3'!L17*'Mix Design'!$O$3</f>
        <v>8736</v>
      </c>
      <c r="M8" s="93">
        <f>'Yd3'!M17*'Mix Design'!$O$3</f>
        <v>8736</v>
      </c>
      <c r="N8" s="93">
        <f>'Yd3'!N17*'Mix Design'!$O$3</f>
        <v>10164.01152</v>
      </c>
      <c r="O8" s="118">
        <f>SUM(C8:N8)</f>
        <v>86982.785759999999</v>
      </c>
      <c r="P8" s="119"/>
      <c r="Q8" s="13"/>
    </row>
    <row r="9" spans="1:18" ht="16.5" thickBot="1">
      <c r="A9" s="94" t="s">
        <v>42</v>
      </c>
      <c r="B9" s="148"/>
      <c r="C9" s="95">
        <f>'ISCO Cell Qt''ys'!C17</f>
        <v>1258.6303950918768</v>
      </c>
      <c r="D9" s="95">
        <f>'ISCO Cell Qt''ys'!D17</f>
        <v>1370.2977598185232</v>
      </c>
      <c r="E9" s="95">
        <f>'ISCO Cell Qt''ys'!E17</f>
        <v>0</v>
      </c>
      <c r="F9" s="95">
        <f>'ISCO Cell Qt''ys'!F17</f>
        <v>0</v>
      </c>
      <c r="G9" s="95">
        <f>'ISCO Cell Qt''ys'!G17</f>
        <v>1337.5669878000224</v>
      </c>
      <c r="H9" s="95">
        <f>'ISCO Cell Qt''ys'!H17</f>
        <v>1520.1963880470496</v>
      </c>
      <c r="I9" s="95">
        <f>'ISCO Cell Qt''ys'!I17</f>
        <v>1520.1963880470496</v>
      </c>
      <c r="J9" s="95">
        <f>'ISCO Cell Qt''ys'!J17</f>
        <v>1520.1963880470496</v>
      </c>
      <c r="K9" s="95">
        <f>'ISCO Cell Qt''ys'!K17</f>
        <v>1393.5133557097954</v>
      </c>
      <c r="L9" s="95">
        <f>'ISCO Cell Qt''ys'!L17</f>
        <v>1154.3210022395056</v>
      </c>
      <c r="M9" s="95">
        <f>'ISCO Cell Qt''ys'!M17</f>
        <v>1154.3210022395056</v>
      </c>
      <c r="N9" s="95">
        <f>'ISCO Cell Qt''ys'!N17</f>
        <v>1343.0096113255815</v>
      </c>
      <c r="O9" s="118"/>
      <c r="P9" s="119">
        <f>SUM(C9:N9)</f>
        <v>13572.24927836596</v>
      </c>
    </row>
    <row r="10" spans="1:18">
      <c r="A10" s="91" t="s">
        <v>68</v>
      </c>
      <c r="B10" s="147">
        <v>5</v>
      </c>
      <c r="C10" s="93">
        <f>'Yd3'!C22*'Mix Design'!$O$3</f>
        <v>10134.870719999999</v>
      </c>
      <c r="D10" s="93">
        <f>'Yd3'!D22*'Mix Design'!$O$3</f>
        <v>8417.3731200000002</v>
      </c>
      <c r="E10" s="93">
        <f>'Yd3'!E22*'Mix Design'!$O$3</f>
        <v>0</v>
      </c>
      <c r="F10" s="93">
        <f>'Yd3'!F22*'Mix Design'!$O$3</f>
        <v>8417.3731200000002</v>
      </c>
      <c r="G10" s="93">
        <f>'Yd3'!G22*'Mix Design'!$O$3</f>
        <v>6864</v>
      </c>
      <c r="H10" s="182">
        <f>'Yd3'!H22*'Mix Design'!$O$3</f>
        <v>7488</v>
      </c>
      <c r="I10" s="182">
        <f>'Yd3'!I22*'Mix Design'!$O$3</f>
        <v>7488</v>
      </c>
      <c r="J10" s="182">
        <f>'Yd3'!J22*'Mix Design'!$O$3</f>
        <v>7488</v>
      </c>
      <c r="K10" s="93">
        <f>'Yd3'!K22*'Mix Design'!$O$3</f>
        <v>6864</v>
      </c>
      <c r="L10" s="93">
        <f>'Yd3'!L22*'Mix Design'!$O$3</f>
        <v>8736</v>
      </c>
      <c r="M10" s="93">
        <f>'Yd3'!M22*'Mix Design'!$O$3</f>
        <v>8736</v>
      </c>
      <c r="N10" s="93">
        <f>'Yd3'!N22*'Mix Design'!$O$3</f>
        <v>10015.125119999999</v>
      </c>
      <c r="O10" s="118">
        <f>SUM(C10:N10)</f>
        <v>90648.742079999996</v>
      </c>
      <c r="P10" s="119"/>
      <c r="Q10" s="13"/>
    </row>
    <row r="11" spans="1:18" ht="16.5" thickBot="1">
      <c r="A11" s="94" t="s">
        <v>42</v>
      </c>
      <c r="B11" s="148"/>
      <c r="C11" s="96">
        <f>'ISCO Cell Qt''ys'!C21</f>
        <v>1339.1591262681111</v>
      </c>
      <c r="D11" s="96">
        <f>'ISCO Cell Qt''ys'!D21</f>
        <v>1112.2196172278245</v>
      </c>
      <c r="E11" s="96">
        <f>'ISCO Cell Qt''ys'!E21</f>
        <v>0</v>
      </c>
      <c r="F11" s="96">
        <f>'ISCO Cell Qt''ys'!F21</f>
        <v>1112.2196172278245</v>
      </c>
      <c r="G11" s="96">
        <f>'ISCO Cell Qt''ys'!G21</f>
        <v>906.96650175961145</v>
      </c>
      <c r="H11" s="96">
        <f>'ISCO Cell Qt''ys'!H21</f>
        <v>1520.1963880470496</v>
      </c>
      <c r="I11" s="96">
        <f>'ISCO Cell Qt''ys'!I21</f>
        <v>1520.1963880470496</v>
      </c>
      <c r="J11" s="96">
        <f>'ISCO Cell Qt''ys'!J21</f>
        <v>1520.1963880470496</v>
      </c>
      <c r="K11" s="96">
        <f>'ISCO Cell Qt''ys'!K21</f>
        <v>906.96650175961145</v>
      </c>
      <c r="L11" s="96">
        <f>'ISCO Cell Qt''ys'!L21</f>
        <v>1154.3210022395056</v>
      </c>
      <c r="M11" s="96">
        <f>'ISCO Cell Qt''ys'!M21</f>
        <v>1154.3210022395056</v>
      </c>
      <c r="N11" s="96">
        <f>'ISCO Cell Qt''ys'!N21</f>
        <v>1323.3366833874138</v>
      </c>
      <c r="O11" s="118"/>
      <c r="P11" s="119">
        <f>SUM(C11:N11)</f>
        <v>13570.099216250555</v>
      </c>
    </row>
    <row r="12" spans="1:18">
      <c r="A12" s="91" t="s">
        <v>68</v>
      </c>
      <c r="B12" s="147">
        <v>6</v>
      </c>
      <c r="C12" s="93">
        <f>'Yd3'!C27*'Mix Design'!$O$3</f>
        <v>10607.999999999998</v>
      </c>
      <c r="D12" s="93">
        <f>'Yd3'!D27*'Mix Design'!$O$3</f>
        <v>9536.7916800000003</v>
      </c>
      <c r="E12" s="93">
        <f>'Yd3'!E27*'Mix Design'!$O$3</f>
        <v>0</v>
      </c>
      <c r="F12" s="93">
        <f>'Yd3'!F27*'Mix Design'!$O$3</f>
        <v>9536.7916800000003</v>
      </c>
      <c r="G12" s="93">
        <f>'Yd3'!G27*'Mix Design'!$O$3</f>
        <v>6864</v>
      </c>
      <c r="H12" s="182">
        <f>'Yd3'!H27*'Mix Design'!$O$3</f>
        <v>7488</v>
      </c>
      <c r="I12" s="182">
        <f>'Yd3'!I27*'Mix Design'!$O$3</f>
        <v>7488</v>
      </c>
      <c r="J12" s="182">
        <f>'Yd3'!J27*'Mix Design'!$O$3</f>
        <v>7488</v>
      </c>
      <c r="K12" s="93">
        <f>'Yd3'!K27*'Mix Design'!$O$3</f>
        <v>6864</v>
      </c>
      <c r="L12" s="93">
        <f>'Yd3'!L27*'Mix Design'!$O$3</f>
        <v>8736</v>
      </c>
      <c r="M12" s="93">
        <f>'Yd3'!M27*'Mix Design'!$O$3</f>
        <v>8736</v>
      </c>
      <c r="N12" s="93">
        <f>'Yd3'!N27*'Mix Design'!$O$3</f>
        <v>9463.0036799999998</v>
      </c>
      <c r="O12" s="118">
        <f>SUM(C12:N12)</f>
        <v>92808.587039999984</v>
      </c>
      <c r="P12" s="119"/>
      <c r="Q12" s="13"/>
    </row>
    <row r="13" spans="1:18" ht="16.5" thickBot="1">
      <c r="A13" s="94" t="s">
        <v>42</v>
      </c>
      <c r="B13" s="148"/>
      <c r="C13" s="96">
        <f>'ISCO Cell Qt''ys'!C25</f>
        <v>1401.6755027193994</v>
      </c>
      <c r="D13" s="96">
        <f>'ISCO Cell Qt''ys'!D25</f>
        <v>1260.1326614247914</v>
      </c>
      <c r="E13" s="96">
        <f>'ISCO Cell Qt''ys'!E25</f>
        <v>0</v>
      </c>
      <c r="F13" s="96">
        <f>'ISCO Cell Qt''ys'!F25</f>
        <v>1260.1326614247914</v>
      </c>
      <c r="G13" s="96">
        <f>'ISCO Cell Qt''ys'!G25</f>
        <v>906.96650175961145</v>
      </c>
      <c r="H13" s="96">
        <f>'ISCO Cell Qt''ys'!H25</f>
        <v>1520.1963880470496</v>
      </c>
      <c r="I13" s="96">
        <f>'ISCO Cell Qt''ys'!I25</f>
        <v>1520.1963880470496</v>
      </c>
      <c r="J13" s="96">
        <f>'ISCO Cell Qt''ys'!J25</f>
        <v>1520.1963880470496</v>
      </c>
      <c r="K13" s="96">
        <f>'ISCO Cell Qt''ys'!K25</f>
        <v>906.96650175961145</v>
      </c>
      <c r="L13" s="96">
        <f>'ISCO Cell Qt''ys'!L25</f>
        <v>1154.3210022395056</v>
      </c>
      <c r="M13" s="96">
        <f>'ISCO Cell Qt''ys'!M25</f>
        <v>1154.3210022395056</v>
      </c>
      <c r="N13" s="96">
        <f>'ISCO Cell Qt''ys'!N25</f>
        <v>1250.3827715308757</v>
      </c>
      <c r="O13" s="118"/>
      <c r="P13" s="119">
        <f>SUM(C13:N13)</f>
        <v>13855.48776923924</v>
      </c>
    </row>
    <row r="14" spans="1:18">
      <c r="A14" s="91" t="s">
        <v>68</v>
      </c>
      <c r="B14" s="147">
        <v>7</v>
      </c>
      <c r="C14" s="93">
        <f>'Yd3'!C32*'Mix Design'!$O$3</f>
        <v>11668.8</v>
      </c>
      <c r="D14" s="93">
        <f>'Yd3'!D32*'Mix Design'!$O$3</f>
        <v>7305.5423999999985</v>
      </c>
      <c r="E14" s="93">
        <f>'Yd3'!E32*'Mix Design'!$O$3</f>
        <v>6084.6364799999992</v>
      </c>
      <c r="F14" s="93">
        <f>'Yd3'!F32*'Mix Design'!$O$3</f>
        <v>9520.6924799999979</v>
      </c>
      <c r="G14" s="93">
        <f>'Yd3'!G32*'Mix Design'!$O$3</f>
        <v>8206.9540799999995</v>
      </c>
      <c r="H14" s="93">
        <f>'Yd3'!H32*'Mix Design'!$O$3</f>
        <v>8236.7999999999993</v>
      </c>
      <c r="I14" s="93">
        <f>'Yd3'!I32*'Mix Design'!$O$3</f>
        <v>8236.7999999999993</v>
      </c>
      <c r="J14" s="93">
        <f>'Yd3'!J32*'Mix Design'!$O$3</f>
        <v>8236.7999999999993</v>
      </c>
      <c r="K14" s="93">
        <f>'Yd3'!K32*'Mix Design'!$O$3</f>
        <v>7550.4</v>
      </c>
      <c r="L14" s="93">
        <f>'Yd3'!L32*'Mix Design'!$O$3</f>
        <v>9609.6</v>
      </c>
      <c r="M14" s="93">
        <f>'Yd3'!M32*'Mix Design'!$O$3</f>
        <v>9609.6</v>
      </c>
      <c r="N14" s="93">
        <f>'Yd3'!N32*'Mix Design'!$O$3</f>
        <v>9771.6028800000004</v>
      </c>
      <c r="O14" s="118">
        <f>SUM(C14:N14)</f>
        <v>104038.22832000001</v>
      </c>
      <c r="P14" s="119"/>
      <c r="Q14" s="13"/>
      <c r="R14" s="13"/>
    </row>
    <row r="15" spans="1:18" ht="16.5" thickBot="1">
      <c r="A15" s="94" t="s">
        <v>42</v>
      </c>
      <c r="B15" s="148"/>
      <c r="C15" s="96">
        <f>'ISCO Cell Qt''ys'!C29</f>
        <v>1541.8430529913396</v>
      </c>
      <c r="D15" s="96">
        <f>'ISCO Cell Qt''ys'!D29</f>
        <v>965.30918327280244</v>
      </c>
      <c r="E15" s="96">
        <f>'ISCO Cell Qt''ys'!E29</f>
        <v>803.98622708981873</v>
      </c>
      <c r="F15" s="96">
        <f>'ISCO Cell Qt''ys'!F29</f>
        <v>1258.0054127206643</v>
      </c>
      <c r="G15" s="96">
        <f>'ISCO Cell Qt''ys'!G29</f>
        <v>1084.4161468588827</v>
      </c>
      <c r="H15" s="96">
        <f>'ISCO Cell Qt''ys'!H29</f>
        <v>1088.3598021115338</v>
      </c>
      <c r="I15" s="96">
        <f>'ISCO Cell Qt''ys'!I29</f>
        <v>1088.3598021115338</v>
      </c>
      <c r="J15" s="96">
        <f>'ISCO Cell Qt''ys'!J29</f>
        <v>1088.3598021115338</v>
      </c>
      <c r="K15" s="96">
        <f>'ISCO Cell Qt''ys'!K29</f>
        <v>997.66315193557261</v>
      </c>
      <c r="L15" s="96">
        <f>'ISCO Cell Qt''ys'!L29</f>
        <v>1269.7531024634561</v>
      </c>
      <c r="M15" s="96">
        <f>'ISCO Cell Qt''ys'!M29</f>
        <v>1269.7531024634561</v>
      </c>
      <c r="N15" s="96">
        <f>'ISCO Cell Qt''ys'!N29</f>
        <v>1291.1591609349864</v>
      </c>
      <c r="O15" s="118"/>
      <c r="P15" s="119">
        <f>SUM(C15:N15)</f>
        <v>13746.967947065579</v>
      </c>
    </row>
    <row r="16" spans="1:18">
      <c r="A16" s="91" t="s">
        <v>68</v>
      </c>
      <c r="B16" s="147">
        <v>8</v>
      </c>
      <c r="C16" s="93">
        <f>'Yd3'!C37*'Mix Design'!$O$3</f>
        <v>12729.6</v>
      </c>
      <c r="D16" s="93">
        <f>'Yd3'!D37*'Mix Design'!$O$3</f>
        <v>8049.93696</v>
      </c>
      <c r="E16" s="93">
        <f>'Yd3'!E37*'Mix Design'!$O$3</f>
        <v>8084.42544</v>
      </c>
      <c r="F16" s="93">
        <f>'Yd3'!F37*'Mix Design'!$O$3</f>
        <v>10450.645919999997</v>
      </c>
      <c r="G16" s="93">
        <f>'Yd3'!G37*'Mix Design'!$O$3</f>
        <v>10450.645919999997</v>
      </c>
      <c r="H16" s="93">
        <f>'Yd3'!H37*'Mix Design'!$O$3</f>
        <v>8985.5999999999985</v>
      </c>
      <c r="I16" s="93">
        <f>'Yd3'!I37*'Mix Design'!$O$3</f>
        <v>8985.5999999999985</v>
      </c>
      <c r="J16" s="93">
        <f>'Yd3'!J37*'Mix Design'!$O$3</f>
        <v>8985.5999999999985</v>
      </c>
      <c r="K16" s="93">
        <f>'Yd3'!K37*'Mix Design'!$O$3</f>
        <v>8236.7999999999993</v>
      </c>
      <c r="L16" s="93">
        <f>'Yd3'!L37*'Mix Design'!$O$3</f>
        <v>10483.199999999999</v>
      </c>
      <c r="M16" s="93">
        <f>'Yd3'!M37*'Mix Design'!$O$3</f>
        <v>10483.199999999999</v>
      </c>
      <c r="N16" s="93">
        <f>'Yd3'!N37*'Mix Design'!$O$3</f>
        <v>9898.0003199999992</v>
      </c>
      <c r="O16" s="118">
        <f>SUM(C16:N16)</f>
        <v>115823.25456</v>
      </c>
      <c r="P16" s="119"/>
      <c r="R16" s="13"/>
    </row>
    <row r="17" spans="1:19" ht="16.5" thickBot="1">
      <c r="A17" s="94" t="s">
        <v>42</v>
      </c>
      <c r="B17" s="148"/>
      <c r="C17" s="96">
        <f>'ISCO Cell Qt''ys'!C33</f>
        <v>1682.0106032632796</v>
      </c>
      <c r="D17" s="96">
        <f>'ISCO Cell Qt''ys'!D33</f>
        <v>1063.6688758736309</v>
      </c>
      <c r="E17" s="96">
        <f>'ISCO Cell Qt''ys'!E33</f>
        <v>1068.2259702874721</v>
      </c>
      <c r="F17" s="96">
        <f>'ISCO Cell Qt''ys'!F33</f>
        <v>1380.8837079240609</v>
      </c>
      <c r="G17" s="96">
        <f>'ISCO Cell Qt''ys'!G33</f>
        <v>1380.8837079240609</v>
      </c>
      <c r="H17" s="96">
        <f>'ISCO Cell Qt''ys'!H33</f>
        <v>1187.3016023034913</v>
      </c>
      <c r="I17" s="96">
        <f>'ISCO Cell Qt''ys'!I33</f>
        <v>1187.3016023034913</v>
      </c>
      <c r="J17" s="96">
        <f>'ISCO Cell Qt''ys'!J33</f>
        <v>1187.3016023034913</v>
      </c>
      <c r="K17" s="96">
        <f>'ISCO Cell Qt''ys'!K33</f>
        <v>1088.3598021115338</v>
      </c>
      <c r="L17" s="96">
        <f>'ISCO Cell Qt''ys'!L33</f>
        <v>1385.1852026874067</v>
      </c>
      <c r="M17" s="96">
        <f>'ISCO Cell Qt''ys'!M33</f>
        <v>1385.1852026874067</v>
      </c>
      <c r="N17" s="96">
        <f>'ISCO Cell Qt''ys'!N33</f>
        <v>1307.8605368073886</v>
      </c>
      <c r="O17" s="118"/>
      <c r="P17" s="119">
        <f>SUM(C17:N17)</f>
        <v>15304.168416476714</v>
      </c>
    </row>
    <row r="18" spans="1:19">
      <c r="A18" s="91" t="s">
        <v>68</v>
      </c>
      <c r="B18" s="147">
        <v>9</v>
      </c>
      <c r="C18" s="92">
        <f>'Yd3'!C42*'Mix Design'!$O$3</f>
        <v>12729.6</v>
      </c>
      <c r="D18" s="92">
        <f>'Yd3'!D42*'Mix Design'!$O$3</f>
        <v>8133.6777599999996</v>
      </c>
      <c r="E18" s="92">
        <f>'Yd3'!E42*'Mix Design'!$O$3</f>
        <v>9661.9036799999994</v>
      </c>
      <c r="F18" s="92">
        <f>'Yd3'!F42*'Mix Design'!$O$3</f>
        <v>11232</v>
      </c>
      <c r="G18" s="92">
        <f>'Yd3'!G42*'Mix Design'!$O$3</f>
        <v>11232</v>
      </c>
      <c r="H18" s="92">
        <f>'Yd3'!H42*'Mix Design'!$O$3</f>
        <v>8985.5999999999985</v>
      </c>
      <c r="I18" s="92">
        <f>'Yd3'!I42*'Mix Design'!$O$3</f>
        <v>8985.5999999999985</v>
      </c>
      <c r="J18" s="92">
        <f>'Yd3'!J42*'Mix Design'!$O$3</f>
        <v>8985.5999999999985</v>
      </c>
      <c r="K18" s="92">
        <f>'Yd3'!K42*'Mix Design'!$O$3</f>
        <v>8236.7999999999993</v>
      </c>
      <c r="L18" s="92">
        <f>'Yd3'!L42*'Mix Design'!$O$3</f>
        <v>10483.199999999999</v>
      </c>
      <c r="M18" s="92">
        <f>'Yd3'!M42*'Mix Design'!$O$3</f>
        <v>10483.199999999999</v>
      </c>
      <c r="N18" s="92">
        <f>'Yd3'!N42*'Mix Design'!$O$3</f>
        <v>9102.9432000000015</v>
      </c>
      <c r="O18" s="118">
        <f>SUM(C18:N18)</f>
        <v>118252.12463999999</v>
      </c>
      <c r="P18" s="119"/>
      <c r="Q18" s="13"/>
      <c r="R18" s="13"/>
    </row>
    <row r="19" spans="1:19" ht="16.5" thickBot="1">
      <c r="A19" s="94" t="s">
        <v>42</v>
      </c>
      <c r="B19" s="148"/>
      <c r="C19" s="95">
        <f>'ISCO Cell Qt''ys'!C37</f>
        <v>1682.0106032632796</v>
      </c>
      <c r="D19" s="95">
        <f>'ISCO Cell Qt''ys'!D37</f>
        <v>1074.7338671950981</v>
      </c>
      <c r="E19" s="95">
        <f>'ISCO Cell Qt''ys'!E37</f>
        <v>1276.6641872068642</v>
      </c>
      <c r="F19" s="95">
        <f>'ISCO Cell Qt''ys'!F37</f>
        <v>1484.1270028793645</v>
      </c>
      <c r="G19" s="95">
        <f>'ISCO Cell Qt''ys'!G37</f>
        <v>1484.1270028793645</v>
      </c>
      <c r="H19" s="95">
        <f>'ISCO Cell Qt''ys'!H37</f>
        <v>1187.3016023034913</v>
      </c>
      <c r="I19" s="95">
        <f>'ISCO Cell Qt''ys'!I37</f>
        <v>1187.3016023034913</v>
      </c>
      <c r="J19" s="95">
        <f>'ISCO Cell Qt''ys'!J37</f>
        <v>1187.3016023034913</v>
      </c>
      <c r="K19" s="95">
        <f>'ISCO Cell Qt''ys'!K37</f>
        <v>1088.3598021115338</v>
      </c>
      <c r="L19" s="95">
        <f>'ISCO Cell Qt''ys'!L37</f>
        <v>1385.1852026874067</v>
      </c>
      <c r="M19" s="95">
        <f>'ISCO Cell Qt''ys'!M37</f>
        <v>1385.1852026874067</v>
      </c>
      <c r="N19" s="95">
        <f>'ISCO Cell Qt''ys'!N37</f>
        <v>1202.806606908573</v>
      </c>
      <c r="O19" s="118"/>
      <c r="P19" s="119">
        <f>SUM(C19:N19)</f>
        <v>15625.104284729365</v>
      </c>
    </row>
    <row r="20" spans="1:19">
      <c r="A20" s="91" t="s">
        <v>68</v>
      </c>
      <c r="B20" s="147">
        <v>10</v>
      </c>
      <c r="C20" s="92">
        <f>'Yd3'!C47*'Mix Design'!$O$3</f>
        <v>12729.6</v>
      </c>
      <c r="D20" s="92">
        <f>'Yd3'!D47*'Mix Design'!$O$3</f>
        <v>9787.5148800000006</v>
      </c>
      <c r="E20" s="92">
        <f>'Yd3'!E47*'Mix Design'!$O$3</f>
        <v>11232</v>
      </c>
      <c r="F20" s="92">
        <f>'Yd3'!F47*'Mix Design'!$O$3</f>
        <v>8611.1999999999989</v>
      </c>
      <c r="G20" s="92">
        <f>'Yd3'!G47*'Mix Design'!$O$3</f>
        <v>12355.199999999999</v>
      </c>
      <c r="H20" s="92">
        <f>'Yd3'!H47*'Mix Design'!$O$3</f>
        <v>8985.5999999999985</v>
      </c>
      <c r="I20" s="92">
        <f>'Yd3'!I47*'Mix Design'!$O$3</f>
        <v>8951.0615999999973</v>
      </c>
      <c r="J20" s="92">
        <f>'Yd3'!J47*'Mix Design'!$O$3</f>
        <v>8748.6235199999992</v>
      </c>
      <c r="K20" s="92">
        <f>'Yd3'!K47*'Mix Design'!$O$3</f>
        <v>7822.1457600000003</v>
      </c>
      <c r="L20" s="92">
        <f>'Yd3'!L47*'Mix Design'!$O$3</f>
        <v>9682.3271999999997</v>
      </c>
      <c r="M20" s="92">
        <f>'Yd3'!M47*'Mix Design'!$O$3</f>
        <v>9376.4236799999999</v>
      </c>
      <c r="N20" s="92">
        <f>'Yd3'!N47*'Mix Design'!$O$3</f>
        <v>7262.1868800000002</v>
      </c>
      <c r="O20" s="118">
        <f>SUM(C20:N20)</f>
        <v>115543.88351999997</v>
      </c>
      <c r="P20" s="119"/>
      <c r="Q20" s="13"/>
      <c r="R20" s="13"/>
    </row>
    <row r="21" spans="1:19" ht="16.5" thickBot="1">
      <c r="A21" s="94" t="s">
        <v>42</v>
      </c>
      <c r="B21" s="148"/>
      <c r="C21" s="95">
        <f>'ISCO Cell Qt''ys'!C41</f>
        <v>1682.0106032632796</v>
      </c>
      <c r="D21" s="95">
        <f>'ISCO Cell Qt''ys'!D41</f>
        <v>1293.2616741890654</v>
      </c>
      <c r="E21" s="95">
        <f>'ISCO Cell Qt''ys'!E41</f>
        <v>1484.1270028793645</v>
      </c>
      <c r="F21" s="95">
        <f>'ISCO Cell Qt''ys'!F41</f>
        <v>1137.8307022075126</v>
      </c>
      <c r="G21" s="95">
        <f>'ISCO Cell Qt''ys'!G41</f>
        <v>1632.5397031673006</v>
      </c>
      <c r="H21" s="95">
        <f>'ISCO Cell Qt''ys'!H41</f>
        <v>1187.3016023034913</v>
      </c>
      <c r="I21" s="95">
        <f>'ISCO Cell Qt''ys'!I41</f>
        <v>1182.7379117696371</v>
      </c>
      <c r="J21" s="95">
        <f>'ISCO Cell Qt''ys'!J41</f>
        <v>1155.9889960877417</v>
      </c>
      <c r="K21" s="95">
        <f>'ISCO Cell Qt''ys'!K41</f>
        <v>1033.5699557402356</v>
      </c>
      <c r="L21" s="95">
        <f>'ISCO Cell Qt''ys'!L41</f>
        <v>1279.3628248071</v>
      </c>
      <c r="M21" s="95">
        <f>'ISCO Cell Qt''ys'!M41</f>
        <v>1238.9426258836806</v>
      </c>
      <c r="N21" s="95">
        <f>'ISCO Cell Qt''ys'!N41</f>
        <v>959.5804530416882</v>
      </c>
      <c r="O21" s="118"/>
      <c r="P21" s="119">
        <f>SUM(C21:N21)</f>
        <v>15267.254055340096</v>
      </c>
    </row>
    <row r="22" spans="1:19">
      <c r="A22" s="120"/>
      <c r="B22" s="84"/>
      <c r="C22" s="84"/>
      <c r="D22" s="84"/>
      <c r="E22" s="84"/>
      <c r="F22" s="84"/>
      <c r="G22" s="84"/>
      <c r="H22" s="84"/>
      <c r="O22" s="142">
        <f>O1/2000</f>
        <v>503.85645335999993</v>
      </c>
      <c r="P22" s="169" t="s">
        <v>72</v>
      </c>
      <c r="Q22" s="13"/>
      <c r="R22" s="13"/>
      <c r="S22" s="13"/>
    </row>
    <row r="23" spans="1:19">
      <c r="A23" s="120"/>
      <c r="D23" s="13"/>
      <c r="P23" s="121"/>
      <c r="Q23" s="13"/>
      <c r="R23" s="13"/>
      <c r="S23" s="13"/>
    </row>
    <row r="24" spans="1:19" ht="16.5" thickBot="1">
      <c r="A24" s="120"/>
      <c r="P24" s="122"/>
      <c r="Q24" s="13"/>
      <c r="R24" s="13"/>
      <c r="S24" s="13"/>
    </row>
    <row r="25" spans="1:19" ht="16.5" thickBot="1">
      <c r="A25" s="162"/>
      <c r="B25" s="163"/>
      <c r="C25" s="164" t="s">
        <v>79</v>
      </c>
      <c r="D25" s="157">
        <v>30</v>
      </c>
      <c r="E25" s="157">
        <v>40</v>
      </c>
      <c r="F25" s="157">
        <v>50</v>
      </c>
      <c r="G25" s="157">
        <v>60</v>
      </c>
      <c r="H25" s="157">
        <v>70</v>
      </c>
      <c r="I25" s="157">
        <v>80</v>
      </c>
      <c r="J25" s="157">
        <v>90</v>
      </c>
      <c r="K25" s="157">
        <v>100</v>
      </c>
      <c r="L25" s="157"/>
      <c r="M25" s="157"/>
      <c r="N25" s="157"/>
    </row>
    <row r="26" spans="1:19" ht="16.5" thickBot="1">
      <c r="A26" s="154"/>
      <c r="B26" s="155"/>
      <c r="C26" s="156" t="s">
        <v>77</v>
      </c>
      <c r="D26" s="173">
        <f>D25*'Mix Design'!$M$21</f>
        <v>147.77038135749567</v>
      </c>
      <c r="E26" s="173">
        <f>E25*'Mix Design'!$M$21</f>
        <v>197.02717514332755</v>
      </c>
      <c r="F26" s="173">
        <f>F25*'Mix Design'!$M$21</f>
        <v>246.28396892915941</v>
      </c>
      <c r="G26" s="173">
        <f>G25*'Mix Design'!$M$21</f>
        <v>295.54076271499133</v>
      </c>
      <c r="H26" s="173">
        <f>H25*'Mix Design'!$M$21</f>
        <v>344.79755650082319</v>
      </c>
      <c r="I26" s="173">
        <f>I25*'Mix Design'!$M$21</f>
        <v>394.05435028665511</v>
      </c>
      <c r="J26" s="173">
        <f>J25*'Mix Design'!$M$21</f>
        <v>443.31114407248697</v>
      </c>
      <c r="K26" s="173">
        <f>K25*'Mix Design'!$M$21</f>
        <v>492.56793785831883</v>
      </c>
      <c r="L26" s="153"/>
      <c r="M26" s="153"/>
      <c r="N26" s="153"/>
    </row>
    <row r="27" spans="1:19" ht="16.5" thickBot="1">
      <c r="A27" s="158"/>
      <c r="B27" s="159"/>
      <c r="C27" s="160" t="s">
        <v>78</v>
      </c>
      <c r="D27" s="174">
        <f>D25*'Mix Design'!$M$6</f>
        <v>227.04256397617033</v>
      </c>
      <c r="E27" s="174">
        <f>E25*'Mix Design'!$M$6</f>
        <v>302.72341863489379</v>
      </c>
      <c r="F27" s="174">
        <f>F25*'Mix Design'!$M$6</f>
        <v>378.40427329361722</v>
      </c>
      <c r="G27" s="174">
        <f>G25*'Mix Design'!$M$6</f>
        <v>454.08512795234066</v>
      </c>
      <c r="H27" s="174">
        <f>H25*'Mix Design'!$M$6</f>
        <v>529.76598261106415</v>
      </c>
      <c r="I27" s="174">
        <f>I25*'Mix Design'!$M$6</f>
        <v>605.44683726978758</v>
      </c>
      <c r="J27" s="174">
        <f>J25*'Mix Design'!$M$6</f>
        <v>681.12769192851101</v>
      </c>
      <c r="K27" s="174">
        <f>K25*'Mix Design'!$M$6</f>
        <v>756.80854658723445</v>
      </c>
      <c r="L27" s="161"/>
      <c r="M27" s="161"/>
      <c r="N27" s="161"/>
    </row>
    <row r="28" spans="1:19">
      <c r="G28" s="7"/>
      <c r="H28" s="152"/>
    </row>
    <row r="29" spans="1:19">
      <c r="D29" s="3"/>
    </row>
    <row r="30" spans="1:19">
      <c r="D30" s="3"/>
    </row>
    <row r="31" spans="1:19">
      <c r="D31" s="3"/>
    </row>
    <row r="32" spans="1:19">
      <c r="D32" s="3"/>
    </row>
    <row r="33" spans="4:4">
      <c r="D33" s="3"/>
    </row>
    <row r="34" spans="4:4">
      <c r="D34" s="3"/>
    </row>
    <row r="35" spans="4:4">
      <c r="D35" s="3"/>
    </row>
    <row r="36" spans="4:4">
      <c r="D36" s="3"/>
    </row>
  </sheetData>
  <printOptions horizontalCentered="1"/>
  <pageMargins left="0.45" right="0.45" top="0.75" bottom="0.75" header="0.3" footer="0.3"/>
  <pageSetup scale="110" orientation="landscape" r:id="rId1"/>
  <headerFooter>
    <oddHeader>&amp;CKent Lower Level Qt'ys 09_09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ISCO Cell Qt'ys</vt:lpstr>
      <vt:lpstr>Mix Design</vt:lpstr>
      <vt:lpstr>Yd3</vt:lpstr>
      <vt:lpstr>ISS Cell Qty's</vt:lpstr>
      <vt:lpstr>'ISCO Cell Qt''ys'!Print_Area</vt:lpstr>
      <vt:lpstr>'ISS Cell Qty''s'!Print_Area</vt:lpstr>
    </vt:vector>
  </TitlesOfParts>
  <Company>Lang Tool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Tool</dc:creator>
  <cp:lastModifiedBy>Bill Lang</cp:lastModifiedBy>
  <cp:lastPrinted>2019-09-07T17:56:18Z</cp:lastPrinted>
  <dcterms:created xsi:type="dcterms:W3CDTF">2012-04-05T12:57:13Z</dcterms:created>
  <dcterms:modified xsi:type="dcterms:W3CDTF">2019-11-08T15:53:03Z</dcterms:modified>
</cp:coreProperties>
</file>